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100" windowHeight="9000"/>
  </bookViews>
  <sheets>
    <sheet name="2019" sheetId="5" r:id="rId1"/>
    <sheet name="2020 " sheetId="10" r:id="rId2"/>
    <sheet name="2021" sheetId="7" r:id="rId3"/>
    <sheet name="Лист1" sheetId="8" r:id="rId4"/>
  </sheets>
  <calcPr calcId="125725"/>
</workbook>
</file>

<file path=xl/calcChain.xml><?xml version="1.0" encoding="utf-8"?>
<calcChain xmlns="http://schemas.openxmlformats.org/spreadsheetml/2006/main">
  <c r="L19" i="7"/>
  <c r="K19"/>
  <c r="I19"/>
  <c r="H19"/>
  <c r="G19"/>
  <c r="F19"/>
  <c r="D19"/>
  <c r="C19"/>
  <c r="L19" i="10"/>
  <c r="K19"/>
  <c r="I19"/>
  <c r="H19"/>
  <c r="G19"/>
  <c r="F19"/>
  <c r="D19"/>
  <c r="C19"/>
  <c r="C20" i="5"/>
  <c r="D20"/>
  <c r="K20"/>
  <c r="L20"/>
  <c r="I20"/>
  <c r="H20"/>
  <c r="G20"/>
  <c r="F20"/>
  <c r="M20" l="1"/>
  <c r="L18" i="10" l="1"/>
  <c r="K18"/>
  <c r="I18"/>
  <c r="H18"/>
  <c r="G18"/>
  <c r="F18"/>
  <c r="D18"/>
  <c r="C18"/>
  <c r="L17"/>
  <c r="K17"/>
  <c r="I17"/>
  <c r="H17"/>
  <c r="G17"/>
  <c r="F17"/>
  <c r="D17"/>
  <c r="C17"/>
  <c r="M17" l="1"/>
  <c r="M18"/>
  <c r="L18" i="7" l="1"/>
  <c r="K18"/>
  <c r="I18"/>
  <c r="H18"/>
  <c r="G18"/>
  <c r="F18"/>
  <c r="D18"/>
  <c r="C18"/>
  <c r="M18" s="1"/>
  <c r="L17"/>
  <c r="K17"/>
  <c r="I17"/>
  <c r="H17"/>
  <c r="G17"/>
  <c r="F17"/>
  <c r="D17"/>
  <c r="C17"/>
  <c r="M17" s="1"/>
  <c r="M19" i="5" l="1"/>
  <c r="K18"/>
  <c r="C18"/>
  <c r="M18" s="1"/>
</calcChain>
</file>

<file path=xl/sharedStrings.xml><?xml version="1.0" encoding="utf-8"?>
<sst xmlns="http://schemas.openxmlformats.org/spreadsheetml/2006/main" count="90" uniqueCount="33">
  <si>
    <t>№пп</t>
  </si>
  <si>
    <t>Наименование государственной работы</t>
  </si>
  <si>
    <t>Базовый норматив затрат, непосредственно связанный с оказанием государственной работы, руб.</t>
  </si>
  <si>
    <t>Базовый норматив на общехозяйственные нужды, руб.</t>
  </si>
  <si>
    <t>Базовый норматив на оказание единицы государственной работы, руб.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</si>
  <si>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</si>
  <si>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</si>
  <si>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 xml:space="preserve">Иные затраты, непосредственно связанные с оказанием i-ой государственной работы </t>
  </si>
  <si>
    <t>Затраты на коммунальные услуги для i-ой государственной работы</t>
  </si>
  <si>
    <t>Затраты на содержание объектов недвижимого имущества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</si>
  <si>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</si>
  <si>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приобретение услуг связи для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</si>
  <si>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</si>
  <si>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</si>
  <si>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>Затраты на прочие общехозяйственные нужды на оказание i-ой государственной работы</t>
  </si>
  <si>
    <t>3</t>
  </si>
  <si>
    <t>6</t>
  </si>
  <si>
    <t>9</t>
  </si>
  <si>
    <t>12</t>
  </si>
  <si>
    <t>13=2+3+4+5+6+7+8+9+10+11</t>
  </si>
  <si>
    <t>Государственная экспертиза условий труда в целях оценки качества проведения специальной оценки условий труда</t>
  </si>
  <si>
    <t>Первый заместитель Министра труда и социальной защиты Российской Федерации</t>
  </si>
  <si>
    <t>УТВЕРЖДАЮ</t>
  </si>
  <si>
    <t>А.В. Вовченко</t>
  </si>
  <si>
    <t>_____________</t>
  </si>
  <si>
    <t>_______</t>
  </si>
  <si>
    <t>Проведение прикладного научного исследования</t>
  </si>
  <si>
    <t>2018 г.</t>
  </si>
  <si>
    <t>Научно-методическое обеспечение</t>
  </si>
  <si>
    <t>Значение базовых нормативных затрат на выполнение государственных работ для федерального государственного бюджетного учреждения "Всероссийский научно-исследовательский институт труда" Министерства труда и социальной защиты Российской Федерации на 2019 год</t>
  </si>
  <si>
    <t>Проведение прикладных научных исследований</t>
  </si>
  <si>
    <t>Значение базовых нормативных затрат на выполнение государственных работ для федерального государственного бюджетного учреждения "Всероссийский научно-исследовательский институт труда" Министерства труда и социальной защиты Российской Федерации на 2021 год</t>
  </si>
  <si>
    <t>Значение базовых нормативных затрат на выполнение государственных работ для федерального государственного бюджетного учреждения "Всероссийский научно-исследовательский институт труда" Министерства труда и социальной защиты Российской Федерации на 2020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</si>
</sst>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21" fillId="0" borderId="0" xfId="0" applyFont="1"/>
    <xf numFmtId="0" fontId="21" fillId="0" borderId="0" xfId="0" applyFont="1" applyBorder="1"/>
    <xf numFmtId="0" fontId="21" fillId="0" borderId="10" xfId="0" applyFont="1" applyBorder="1"/>
    <xf numFmtId="0" fontId="21" fillId="0" borderId="0" xfId="0" applyFont="1" applyAlignment="1">
      <alignment horizontal="center"/>
    </xf>
    <xf numFmtId="0" fontId="19" fillId="0" borderId="0" xfId="43" applyFont="1"/>
    <xf numFmtId="0" fontId="21" fillId="0" borderId="0" xfId="0" applyFont="1" applyFill="1"/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3" fontId="19" fillId="0" borderId="0" xfId="1" applyFont="1"/>
    <xf numFmtId="0" fontId="21" fillId="0" borderId="11" xfId="0" applyFont="1" applyFill="1" applyBorder="1" applyAlignment="1">
      <alignment wrapText="1"/>
    </xf>
    <xf numFmtId="4" fontId="21" fillId="0" borderId="11" xfId="0" applyNumberFormat="1" applyFont="1" applyFill="1" applyBorder="1"/>
    <xf numFmtId="4" fontId="21" fillId="0" borderId="11" xfId="0" applyNumberFormat="1" applyFont="1" applyFill="1" applyBorder="1" applyAlignment="1">
      <alignment wrapText="1"/>
    </xf>
    <xf numFmtId="0" fontId="19" fillId="0" borderId="0" xfId="0" applyFont="1" applyBorder="1"/>
    <xf numFmtId="4" fontId="24" fillId="0" borderId="0" xfId="0" applyNumberFormat="1" applyFont="1" applyFill="1" applyBorder="1"/>
    <xf numFmtId="4" fontId="25" fillId="0" borderId="0" xfId="0" applyNumberFormat="1" applyFont="1" applyFill="1" applyBorder="1"/>
    <xf numFmtId="4" fontId="26" fillId="0" borderId="0" xfId="0" applyNumberFormat="1" applyFont="1" applyFill="1" applyBorder="1"/>
    <xf numFmtId="0" fontId="27" fillId="0" borderId="0" xfId="0" applyFont="1"/>
    <xf numFmtId="0" fontId="27" fillId="0" borderId="0" xfId="0" applyFont="1" applyAlignment="1"/>
    <xf numFmtId="0" fontId="29" fillId="0" borderId="0" xfId="0" applyFont="1"/>
    <xf numFmtId="0" fontId="29" fillId="0" borderId="0" xfId="0" applyFont="1" applyBorder="1"/>
    <xf numFmtId="0" fontId="29" fillId="0" borderId="10" xfId="0" applyFont="1" applyBorder="1"/>
    <xf numFmtId="0" fontId="29" fillId="0" borderId="0" xfId="0" applyFont="1" applyAlignment="1">
      <alignment horizontal="center"/>
    </xf>
    <xf numFmtId="0" fontId="32" fillId="0" borderId="0" xfId="43" applyFont="1"/>
    <xf numFmtId="0" fontId="32" fillId="0" borderId="0" xfId="43" applyFont="1" applyFill="1" applyBorder="1"/>
    <xf numFmtId="0" fontId="32" fillId="0" borderId="11" xfId="43" applyFont="1" applyFill="1" applyBorder="1" applyAlignment="1">
      <alignment horizontal="center" vertical="center" wrapText="1"/>
    </xf>
    <xf numFmtId="49" fontId="32" fillId="0" borderId="11" xfId="43" applyNumberFormat="1" applyFont="1" applyFill="1" applyBorder="1" applyAlignment="1">
      <alignment horizontal="center" vertical="center" wrapText="1"/>
    </xf>
    <xf numFmtId="0" fontId="34" fillId="0" borderId="11" xfId="43" applyFont="1" applyFill="1" applyBorder="1" applyAlignment="1">
      <alignment horizontal="center" vertical="center" wrapText="1"/>
    </xf>
    <xf numFmtId="49" fontId="34" fillId="0" borderId="11" xfId="43" applyNumberFormat="1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left" wrapText="1"/>
    </xf>
    <xf numFmtId="4" fontId="32" fillId="0" borderId="11" xfId="43" applyNumberFormat="1" applyFont="1" applyFill="1" applyBorder="1" applyAlignment="1">
      <alignment wrapText="1"/>
    </xf>
    <xf numFmtId="43" fontId="27" fillId="0" borderId="0" xfId="1" applyFont="1"/>
    <xf numFmtId="4" fontId="32" fillId="0" borderId="11" xfId="43" applyNumberFormat="1" applyFont="1" applyFill="1" applyBorder="1"/>
    <xf numFmtId="2" fontId="18" fillId="0" borderId="11" xfId="43" applyNumberFormat="1" applyBorder="1"/>
    <xf numFmtId="43" fontId="27" fillId="0" borderId="0" xfId="0" applyNumberFormat="1" applyFont="1"/>
    <xf numFmtId="164" fontId="19" fillId="0" borderId="0" xfId="1" applyNumberFormat="1" applyFont="1"/>
    <xf numFmtId="164" fontId="19" fillId="0" borderId="0" xfId="0" applyNumberFormat="1" applyFont="1"/>
    <xf numFmtId="4" fontId="27" fillId="0" borderId="0" xfId="0" applyNumberFormat="1" applyFont="1"/>
    <xf numFmtId="49" fontId="23" fillId="0" borderId="0" xfId="43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20" fillId="0" borderId="0" xfId="43" applyNumberFormat="1" applyFont="1" applyFill="1" applyBorder="1" applyAlignment="1">
      <alignment horizontal="center" wrapText="1"/>
    </xf>
    <xf numFmtId="0" fontId="22" fillId="0" borderId="0" xfId="43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35" fillId="0" borderId="0" xfId="43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30" fillId="0" borderId="0" xfId="43" applyNumberFormat="1" applyFont="1" applyFill="1" applyBorder="1" applyAlignment="1">
      <alignment horizontal="center" wrapText="1"/>
    </xf>
    <xf numFmtId="0" fontId="31" fillId="0" borderId="0" xfId="43" applyFont="1" applyFill="1" applyBorder="1" applyAlignment="1">
      <alignment horizontal="center" vertical="top"/>
    </xf>
    <xf numFmtId="49" fontId="33" fillId="0" borderId="0" xfId="43" applyNumberFormat="1" applyFont="1" applyFill="1" applyBorder="1" applyAlignment="1">
      <alignment horizontal="center" wrapText="1"/>
    </xf>
    <xf numFmtId="49" fontId="31" fillId="0" borderId="0" xfId="43" applyNumberFormat="1" applyFont="1" applyFill="1" applyBorder="1" applyAlignment="1">
      <alignment horizontal="center" vertical="top" wrapText="1"/>
    </xf>
    <xf numFmtId="0" fontId="32" fillId="0" borderId="12" xfId="43" applyFont="1" applyFill="1" applyBorder="1" applyAlignment="1">
      <alignment horizontal="center" vertical="center" wrapText="1"/>
    </xf>
    <xf numFmtId="0" fontId="32" fillId="0" borderId="13" xfId="43" applyFont="1" applyFill="1" applyBorder="1" applyAlignment="1">
      <alignment horizontal="center" vertical="center" wrapText="1"/>
    </xf>
    <xf numFmtId="0" fontId="32" fillId="0" borderId="14" xfId="43" applyFont="1" applyFill="1" applyBorder="1" applyAlignment="1">
      <alignment horizontal="center" vertical="center" wrapText="1"/>
    </xf>
    <xf numFmtId="0" fontId="32" fillId="0" borderId="16" xfId="43" applyFont="1" applyFill="1" applyBorder="1" applyAlignment="1">
      <alignment horizontal="center" vertical="center" wrapText="1"/>
    </xf>
    <xf numFmtId="0" fontId="32" fillId="0" borderId="15" xfId="43" applyFont="1" applyFill="1" applyBorder="1" applyAlignment="1">
      <alignment horizontal="center" vertical="center" wrapText="1"/>
    </xf>
    <xf numFmtId="49" fontId="32" fillId="0" borderId="14" xfId="43" applyNumberFormat="1" applyFont="1" applyFill="1" applyBorder="1" applyAlignment="1">
      <alignment horizontal="center" vertical="center" wrapText="1"/>
    </xf>
    <xf numFmtId="49" fontId="32" fillId="0" borderId="16" xfId="43" applyNumberFormat="1" applyFont="1" applyFill="1" applyBorder="1" applyAlignment="1">
      <alignment horizontal="center" vertical="center" wrapText="1"/>
    </xf>
    <xf numFmtId="49" fontId="32" fillId="0" borderId="15" xfId="43" applyNumberFormat="1" applyFont="1" applyFill="1" applyBorder="1" applyAlignment="1">
      <alignment horizontal="center" vertical="center" wrapText="1"/>
    </xf>
  </cellXfs>
  <cellStyles count="45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" xfId="44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tabSelected="1" zoomScale="70" zoomScaleNormal="70" workbookViewId="0">
      <selection activeCell="B2" sqref="B2"/>
    </sheetView>
  </sheetViews>
  <sheetFormatPr defaultColWidth="8.85546875" defaultRowHeight="15"/>
  <cols>
    <col min="1" max="1" width="7.28515625" style="19" customWidth="1"/>
    <col min="2" max="2" width="27.28515625" style="19" bestFit="1" customWidth="1"/>
    <col min="3" max="3" width="17.7109375" style="19" bestFit="1" customWidth="1"/>
    <col min="4" max="4" width="21" style="19" bestFit="1" customWidth="1"/>
    <col min="5" max="5" width="15.7109375" style="19" bestFit="1" customWidth="1"/>
    <col min="6" max="6" width="20.42578125" style="19" bestFit="1" customWidth="1"/>
    <col min="7" max="7" width="18.28515625" style="19" bestFit="1" customWidth="1"/>
    <col min="8" max="8" width="20.140625" style="19" bestFit="1" customWidth="1"/>
    <col min="9" max="9" width="18.28515625" style="19" bestFit="1" customWidth="1"/>
    <col min="10" max="10" width="10.7109375" style="19" bestFit="1" customWidth="1"/>
    <col min="11" max="11" width="18.85546875" style="19" bestFit="1" customWidth="1"/>
    <col min="12" max="12" width="16.28515625" style="19" bestFit="1" customWidth="1"/>
    <col min="13" max="13" width="27.5703125" style="19" bestFit="1" customWidth="1"/>
    <col min="14" max="16" width="16.42578125" style="19" bestFit="1" customWidth="1"/>
    <col min="17" max="18" width="19.140625" style="19" customWidth="1"/>
    <col min="19" max="16384" width="8.85546875" style="19"/>
  </cols>
  <sheetData>
    <row r="2" spans="1:13" ht="18.75">
      <c r="I2" s="55" t="s">
        <v>22</v>
      </c>
      <c r="J2" s="55"/>
      <c r="K2" s="55"/>
      <c r="L2" s="55"/>
      <c r="M2" s="55"/>
    </row>
    <row r="4" spans="1:13" ht="15.75">
      <c r="G4" s="20"/>
      <c r="H4" s="56" t="s">
        <v>21</v>
      </c>
      <c r="I4" s="56"/>
      <c r="J4" s="56"/>
      <c r="K4" s="56"/>
      <c r="L4" s="56"/>
      <c r="M4" s="56"/>
    </row>
    <row r="5" spans="1:13" ht="15.75">
      <c r="H5" s="21"/>
      <c r="I5" s="21"/>
      <c r="J5" s="21"/>
      <c r="K5" s="21"/>
      <c r="L5" s="21"/>
      <c r="M5" s="21"/>
    </row>
    <row r="6" spans="1:13" ht="15.75">
      <c r="H6" s="22"/>
      <c r="I6" s="22"/>
      <c r="J6" s="23"/>
      <c r="K6" s="23"/>
      <c r="L6" s="23"/>
      <c r="M6" s="24" t="s">
        <v>23</v>
      </c>
    </row>
    <row r="7" spans="1:13" ht="15.75">
      <c r="H7" s="21"/>
      <c r="I7" s="21"/>
      <c r="J7" s="21"/>
      <c r="K7" s="21"/>
      <c r="L7" s="21"/>
      <c r="M7" s="21"/>
    </row>
    <row r="8" spans="1:13" ht="15.75">
      <c r="H8" s="24"/>
      <c r="I8" s="21"/>
      <c r="J8" s="22"/>
      <c r="K8" s="21" t="s">
        <v>25</v>
      </c>
      <c r="L8" s="22" t="s">
        <v>24</v>
      </c>
      <c r="M8" s="21" t="s">
        <v>27</v>
      </c>
    </row>
    <row r="10" spans="1:13" ht="48" customHeight="1">
      <c r="A10" s="57" t="s">
        <v>29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25"/>
      <c r="L11" s="25"/>
      <c r="M11" s="25"/>
    </row>
    <row r="12" spans="1:13" ht="2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26"/>
      <c r="L12" s="26"/>
      <c r="M12" s="26"/>
    </row>
    <row r="13" spans="1:1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26"/>
      <c r="L13" s="26"/>
      <c r="M13" s="26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A15" s="61" t="s">
        <v>0</v>
      </c>
      <c r="B15" s="61" t="s">
        <v>1</v>
      </c>
      <c r="C15" s="63" t="s">
        <v>2</v>
      </c>
      <c r="D15" s="64"/>
      <c r="E15" s="65"/>
      <c r="F15" s="66" t="s">
        <v>3</v>
      </c>
      <c r="G15" s="67"/>
      <c r="H15" s="67"/>
      <c r="I15" s="67"/>
      <c r="J15" s="67"/>
      <c r="K15" s="67"/>
      <c r="L15" s="68"/>
      <c r="M15" s="61" t="s">
        <v>4</v>
      </c>
    </row>
    <row r="16" spans="1:13" ht="180">
      <c r="A16" s="62"/>
      <c r="B16" s="62"/>
      <c r="C16" s="27" t="s">
        <v>5</v>
      </c>
      <c r="D16" s="27" t="s">
        <v>6</v>
      </c>
      <c r="E16" s="27" t="s">
        <v>7</v>
      </c>
      <c r="F16" s="28" t="s">
        <v>8</v>
      </c>
      <c r="G16" s="28" t="s">
        <v>9</v>
      </c>
      <c r="H16" s="28" t="s">
        <v>10</v>
      </c>
      <c r="I16" s="28" t="s">
        <v>11</v>
      </c>
      <c r="J16" s="28" t="s">
        <v>12</v>
      </c>
      <c r="K16" s="28" t="s">
        <v>13</v>
      </c>
      <c r="L16" s="27" t="s">
        <v>14</v>
      </c>
      <c r="M16" s="62"/>
    </row>
    <row r="17" spans="1:18" ht="26.45" customHeight="1">
      <c r="A17" s="29">
        <v>1</v>
      </c>
      <c r="B17" s="29">
        <v>2</v>
      </c>
      <c r="C17" s="30" t="s">
        <v>15</v>
      </c>
      <c r="D17" s="29">
        <v>4</v>
      </c>
      <c r="E17" s="29">
        <v>5</v>
      </c>
      <c r="F17" s="30" t="s">
        <v>16</v>
      </c>
      <c r="G17" s="29">
        <v>7</v>
      </c>
      <c r="H17" s="29">
        <v>8</v>
      </c>
      <c r="I17" s="30" t="s">
        <v>17</v>
      </c>
      <c r="J17" s="29">
        <v>10</v>
      </c>
      <c r="K17" s="29">
        <v>11</v>
      </c>
      <c r="L17" s="30" t="s">
        <v>18</v>
      </c>
      <c r="M17" s="29" t="s">
        <v>19</v>
      </c>
    </row>
    <row r="18" spans="1:18" ht="51.6" customHeight="1">
      <c r="A18" s="27">
        <v>1</v>
      </c>
      <c r="B18" s="31" t="s">
        <v>30</v>
      </c>
      <c r="C18" s="13">
        <f>2008048.46+671.06</f>
        <v>2008719.52</v>
      </c>
      <c r="D18" s="13">
        <v>28086.2</v>
      </c>
      <c r="E18" s="13">
        <v>0</v>
      </c>
      <c r="F18" s="13">
        <v>67064.479999999996</v>
      </c>
      <c r="G18" s="13">
        <v>72863.09</v>
      </c>
      <c r="H18" s="13">
        <v>5091.78</v>
      </c>
      <c r="I18" s="13">
        <v>26741.39</v>
      </c>
      <c r="J18" s="13">
        <v>0</v>
      </c>
      <c r="K18" s="13">
        <f>738939.04-177214.42-671.06</f>
        <v>561053.55999999994</v>
      </c>
      <c r="L18" s="13">
        <v>61556.53</v>
      </c>
      <c r="M18" s="32">
        <f>SUM(C18:L18)</f>
        <v>2831176.55</v>
      </c>
    </row>
    <row r="19" spans="1:18" ht="75">
      <c r="A19" s="27">
        <v>2</v>
      </c>
      <c r="B19" s="31" t="s">
        <v>20</v>
      </c>
      <c r="C19" s="34">
        <v>12888.47</v>
      </c>
      <c r="D19" s="35">
        <v>205.7</v>
      </c>
      <c r="E19" s="35">
        <v>0</v>
      </c>
      <c r="F19" s="35">
        <v>457.46</v>
      </c>
      <c r="G19" s="35">
        <v>660.11</v>
      </c>
      <c r="H19" s="35">
        <v>25.46</v>
      </c>
      <c r="I19" s="35">
        <v>194.53</v>
      </c>
      <c r="J19" s="35">
        <v>0</v>
      </c>
      <c r="K19" s="35">
        <v>3973.95</v>
      </c>
      <c r="L19" s="35">
        <v>511.02</v>
      </c>
      <c r="M19" s="32">
        <f>SUM(C19:L19)</f>
        <v>18916.7</v>
      </c>
    </row>
    <row r="20" spans="1:18" s="1" customFormat="1" ht="31.5">
      <c r="A20" s="9">
        <v>3</v>
      </c>
      <c r="B20" s="12" t="s">
        <v>28</v>
      </c>
      <c r="C20" s="13">
        <f>2561578.99909482*1.04+9460.11</f>
        <v>2673502.2690586131</v>
      </c>
      <c r="D20" s="13">
        <f>27663.0207489879*1.04</f>
        <v>28769.541578947417</v>
      </c>
      <c r="E20" s="13">
        <v>0</v>
      </c>
      <c r="F20" s="13">
        <f>40271.2798*1.04</f>
        <v>41882.130991999999</v>
      </c>
      <c r="G20" s="13">
        <f>75889.0871*1.04</f>
        <v>78924.650584000003</v>
      </c>
      <c r="H20" s="13">
        <f>2065.784*1.04</f>
        <v>2148.41536</v>
      </c>
      <c r="I20" s="13">
        <f>26741.3936*1.04</f>
        <v>27811.049343999999</v>
      </c>
      <c r="J20" s="13">
        <v>0</v>
      </c>
      <c r="K20" s="13">
        <f>578717*1.04</f>
        <v>601865.68000000005</v>
      </c>
      <c r="L20" s="13">
        <f>60188.7192999999*1.04</f>
        <v>62596.268071999999</v>
      </c>
      <c r="M20" s="14">
        <f>3517500</f>
        <v>3517500</v>
      </c>
      <c r="N20" s="19"/>
      <c r="P20" s="19"/>
    </row>
    <row r="21" spans="1:18">
      <c r="M21" s="1"/>
      <c r="N21" s="33"/>
      <c r="O21" s="33"/>
      <c r="P21" s="33"/>
      <c r="Q21" s="36"/>
    </row>
    <row r="22" spans="1:18">
      <c r="M22" s="1"/>
      <c r="N22" s="33"/>
      <c r="O22" s="33"/>
      <c r="P22" s="33"/>
    </row>
    <row r="23" spans="1:18">
      <c r="M23" s="1"/>
      <c r="N23" s="33"/>
      <c r="O23" s="33"/>
      <c r="P23" s="33"/>
      <c r="Q23" s="36"/>
      <c r="R23" s="36"/>
    </row>
    <row r="25" spans="1:18">
      <c r="M25" s="1"/>
      <c r="N25" s="36"/>
      <c r="O25" s="36"/>
      <c r="P25" s="36"/>
      <c r="Q25" s="36"/>
    </row>
    <row r="27" spans="1:18">
      <c r="K27" s="33"/>
      <c r="M27" s="33"/>
    </row>
    <row r="28" spans="1:18">
      <c r="K28" s="33"/>
      <c r="L28" s="39"/>
      <c r="M28" s="33"/>
    </row>
    <row r="29" spans="1:18">
      <c r="L29" s="39"/>
      <c r="M29" s="33"/>
    </row>
    <row r="30" spans="1:18">
      <c r="M30" s="33"/>
    </row>
    <row r="31" spans="1:18">
      <c r="M31" s="33"/>
    </row>
    <row r="32" spans="1:18">
      <c r="M32" s="33"/>
    </row>
    <row r="48" spans="1:13" ht="18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</sheetData>
  <mergeCells count="12">
    <mergeCell ref="A48:M48"/>
    <mergeCell ref="I2:M2"/>
    <mergeCell ref="H4:M4"/>
    <mergeCell ref="A10:M10"/>
    <mergeCell ref="A11:J11"/>
    <mergeCell ref="A12:J12"/>
    <mergeCell ref="A13:J13"/>
    <mergeCell ref="A15:A16"/>
    <mergeCell ref="B15:B16"/>
    <mergeCell ref="C15:E15"/>
    <mergeCell ref="F15:L15"/>
    <mergeCell ref="M15:M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="60" zoomScaleNormal="60" workbookViewId="0">
      <selection activeCell="B2" sqref="B2"/>
    </sheetView>
  </sheetViews>
  <sheetFormatPr defaultColWidth="8.85546875" defaultRowHeight="15"/>
  <cols>
    <col min="1" max="1" width="7.28515625" style="1" customWidth="1"/>
    <col min="2" max="2" width="27.28515625" style="1" bestFit="1" customWidth="1"/>
    <col min="3" max="3" width="17.7109375" style="1" bestFit="1" customWidth="1"/>
    <col min="4" max="4" width="21" style="1" bestFit="1" customWidth="1"/>
    <col min="5" max="5" width="15.7109375" style="1" bestFit="1" customWidth="1"/>
    <col min="6" max="6" width="20.42578125" style="1" bestFit="1" customWidth="1"/>
    <col min="7" max="7" width="18.28515625" style="1" bestFit="1" customWidth="1"/>
    <col min="8" max="8" width="20.140625" style="1" bestFit="1" customWidth="1"/>
    <col min="9" max="9" width="18.28515625" style="1" bestFit="1" customWidth="1"/>
    <col min="10" max="10" width="10.7109375" style="1" bestFit="1" customWidth="1"/>
    <col min="11" max="11" width="18.85546875" style="1" bestFit="1" customWidth="1"/>
    <col min="12" max="12" width="16.28515625" style="1" bestFit="1" customWidth="1"/>
    <col min="13" max="13" width="27.5703125" style="1" bestFit="1" customWidth="1"/>
    <col min="14" max="16" width="18.28515625" style="1" bestFit="1" customWidth="1"/>
    <col min="17" max="17" width="19.42578125" style="1" bestFit="1" customWidth="1"/>
    <col min="18" max="18" width="17.7109375" style="1" customWidth="1"/>
    <col min="19" max="16384" width="8.85546875" style="1"/>
  </cols>
  <sheetData>
    <row r="2" spans="1:13" ht="18.75">
      <c r="I2" s="41" t="s">
        <v>22</v>
      </c>
      <c r="J2" s="41"/>
      <c r="K2" s="41"/>
      <c r="L2" s="41"/>
      <c r="M2" s="41"/>
    </row>
    <row r="4" spans="1:13" ht="15.75">
      <c r="G4" s="2"/>
      <c r="H4" s="42" t="s">
        <v>21</v>
      </c>
      <c r="I4" s="42"/>
      <c r="J4" s="42"/>
      <c r="K4" s="42"/>
      <c r="L4" s="42"/>
      <c r="M4" s="42"/>
    </row>
    <row r="5" spans="1:13" ht="15.75">
      <c r="H5" s="3"/>
      <c r="I5" s="3"/>
      <c r="J5" s="3"/>
      <c r="K5" s="3"/>
      <c r="L5" s="3"/>
      <c r="M5" s="3"/>
    </row>
    <row r="6" spans="1:13" ht="15.75">
      <c r="H6" s="4"/>
      <c r="I6" s="4"/>
      <c r="J6" s="5"/>
      <c r="K6" s="5"/>
      <c r="L6" s="5"/>
      <c r="M6" s="6" t="s">
        <v>23</v>
      </c>
    </row>
    <row r="7" spans="1:13" ht="15.75">
      <c r="H7" s="3"/>
      <c r="I7" s="3"/>
      <c r="J7" s="3"/>
      <c r="K7" s="3"/>
      <c r="L7" s="3"/>
      <c r="M7" s="3"/>
    </row>
    <row r="8" spans="1:13" ht="15.75">
      <c r="H8" s="6"/>
      <c r="I8" s="3"/>
      <c r="J8" s="4"/>
      <c r="K8" s="3" t="s">
        <v>25</v>
      </c>
      <c r="L8" s="4" t="s">
        <v>24</v>
      </c>
      <c r="M8" s="3" t="s">
        <v>27</v>
      </c>
    </row>
    <row r="10" spans="1:13" ht="47.45" customHeight="1">
      <c r="A10" s="43" t="s">
        <v>32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7"/>
      <c r="L11" s="7"/>
      <c r="M11" s="7"/>
    </row>
    <row r="12" spans="1:13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46" t="s">
        <v>0</v>
      </c>
      <c r="B14" s="46" t="s">
        <v>1</v>
      </c>
      <c r="C14" s="48" t="s">
        <v>2</v>
      </c>
      <c r="D14" s="49"/>
      <c r="E14" s="50"/>
      <c r="F14" s="51" t="s">
        <v>3</v>
      </c>
      <c r="G14" s="52"/>
      <c r="H14" s="52"/>
      <c r="I14" s="52"/>
      <c r="J14" s="52"/>
      <c r="K14" s="52"/>
      <c r="L14" s="53"/>
      <c r="M14" s="46" t="s">
        <v>4</v>
      </c>
    </row>
    <row r="15" spans="1:13" ht="204.75">
      <c r="A15" s="47"/>
      <c r="B15" s="47"/>
      <c r="C15" s="9" t="s">
        <v>5</v>
      </c>
      <c r="D15" s="9" t="s">
        <v>6</v>
      </c>
      <c r="E15" s="9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9" t="s">
        <v>14</v>
      </c>
      <c r="M15" s="47"/>
    </row>
    <row r="16" spans="1:13" ht="31.5">
      <c r="A16" s="9">
        <v>1</v>
      </c>
      <c r="B16" s="9">
        <v>2</v>
      </c>
      <c r="C16" s="10" t="s">
        <v>15</v>
      </c>
      <c r="D16" s="9">
        <v>4</v>
      </c>
      <c r="E16" s="9">
        <v>5</v>
      </c>
      <c r="F16" s="10" t="s">
        <v>16</v>
      </c>
      <c r="G16" s="9">
        <v>7</v>
      </c>
      <c r="H16" s="9">
        <v>8</v>
      </c>
      <c r="I16" s="10" t="s">
        <v>17</v>
      </c>
      <c r="J16" s="9">
        <v>10</v>
      </c>
      <c r="K16" s="9">
        <v>11</v>
      </c>
      <c r="L16" s="10" t="s">
        <v>18</v>
      </c>
      <c r="M16" s="9" t="s">
        <v>19</v>
      </c>
    </row>
    <row r="17" spans="1:17" ht="43.15" customHeight="1">
      <c r="A17" s="9">
        <v>1</v>
      </c>
      <c r="B17" s="12" t="s">
        <v>26</v>
      </c>
      <c r="C17" s="13">
        <f>2008048.46*1.053+826.32</f>
        <v>2115301.3483799999</v>
      </c>
      <c r="D17" s="13">
        <f>27663.02*1.053</f>
        <v>29129.160059999998</v>
      </c>
      <c r="E17" s="13">
        <v>0</v>
      </c>
      <c r="F17" s="13">
        <f>40271.28*1.053</f>
        <v>42405.657839999993</v>
      </c>
      <c r="G17" s="13">
        <f>75889.09*1.053</f>
        <v>79911.211769999994</v>
      </c>
      <c r="H17" s="13">
        <f>2065.78*1.053</f>
        <v>2175.2663400000001</v>
      </c>
      <c r="I17" s="13">
        <f>26741.39*1.053</f>
        <v>28158.683669999999</v>
      </c>
      <c r="J17" s="13">
        <v>0</v>
      </c>
      <c r="K17" s="13">
        <f>537717.5*1.053</f>
        <v>566216.52749999997</v>
      </c>
      <c r="L17" s="13">
        <f>60192.94*1.053</f>
        <v>63383.165820000002</v>
      </c>
      <c r="M17" s="14">
        <f>SUM(C17:L17)</f>
        <v>2926681.0213800003</v>
      </c>
    </row>
    <row r="18" spans="1:17" ht="78.75">
      <c r="A18" s="9">
        <v>2</v>
      </c>
      <c r="B18" s="12" t="s">
        <v>20</v>
      </c>
      <c r="C18" s="13">
        <f>11204.89*1.108</f>
        <v>12415.018120000001</v>
      </c>
      <c r="D18" s="13">
        <f>205.7*1.108</f>
        <v>227.91560000000001</v>
      </c>
      <c r="E18" s="13">
        <v>0</v>
      </c>
      <c r="F18" s="13">
        <f>457.46*1.108</f>
        <v>506.86568</v>
      </c>
      <c r="G18" s="13">
        <f>279.65*1.108</f>
        <v>309.85219999999998</v>
      </c>
      <c r="H18" s="13">
        <f>8.33*1.108</f>
        <v>9.2296400000000016</v>
      </c>
      <c r="I18" s="13">
        <f>194.53*1.108</f>
        <v>215.53924000000001</v>
      </c>
      <c r="J18" s="13">
        <v>0</v>
      </c>
      <c r="K18" s="13">
        <f>3974.06*1.108</f>
        <v>4403.2584800000004</v>
      </c>
      <c r="L18" s="13">
        <f>743.45*1.108+3.79</f>
        <v>827.53260000000012</v>
      </c>
      <c r="M18" s="14">
        <f t="shared" ref="M18" si="0">SUM(C18:L18)</f>
        <v>18915.21156</v>
      </c>
    </row>
    <row r="19" spans="1:17" ht="31.5">
      <c r="A19" s="9">
        <v>3</v>
      </c>
      <c r="B19" s="12" t="s">
        <v>28</v>
      </c>
      <c r="C19" s="13">
        <f>2561578.99909482*1.04+9460.11</f>
        <v>2673502.2690586131</v>
      </c>
      <c r="D19" s="13">
        <f>27663.0207489879*1.04</f>
        <v>28769.541578947417</v>
      </c>
      <c r="E19" s="13">
        <v>0</v>
      </c>
      <c r="F19" s="13">
        <f>40271.2798*1.04</f>
        <v>41882.130991999999</v>
      </c>
      <c r="G19" s="13">
        <f>75889.0871*1.04</f>
        <v>78924.650584000003</v>
      </c>
      <c r="H19" s="13">
        <f>2065.784*1.04</f>
        <v>2148.41536</v>
      </c>
      <c r="I19" s="13">
        <f>26741.3936*1.04</f>
        <v>27811.049343999999</v>
      </c>
      <c r="J19" s="13">
        <v>0</v>
      </c>
      <c r="K19" s="13">
        <f>578717*1.04</f>
        <v>601865.68000000005</v>
      </c>
      <c r="L19" s="13">
        <f>60188.7192999999*1.04</f>
        <v>62596.268071999897</v>
      </c>
      <c r="M19" s="14">
        <v>3517500</v>
      </c>
    </row>
    <row r="20" spans="1:17">
      <c r="N20" s="11"/>
      <c r="O20" s="11"/>
      <c r="P20" s="11"/>
    </row>
    <row r="21" spans="1:17">
      <c r="N21" s="37"/>
      <c r="O21" s="37"/>
      <c r="P21" s="37"/>
      <c r="Q21" s="38"/>
    </row>
    <row r="22" spans="1:17">
      <c r="N22" s="37"/>
      <c r="O22" s="37"/>
      <c r="P22" s="37"/>
      <c r="Q22" s="38"/>
    </row>
    <row r="23" spans="1:17">
      <c r="N23" s="37"/>
      <c r="O23" s="37"/>
      <c r="P23" s="37"/>
      <c r="Q23" s="38"/>
    </row>
    <row r="24" spans="1:17">
      <c r="N24" s="37"/>
      <c r="O24" s="37"/>
      <c r="P24" s="37"/>
      <c r="Q24" s="38"/>
    </row>
    <row r="25" spans="1:17">
      <c r="C25" s="11"/>
      <c r="N25" s="38"/>
      <c r="O25" s="38"/>
      <c r="P25" s="38"/>
      <c r="Q25" s="38"/>
    </row>
    <row r="26" spans="1:17">
      <c r="N26" s="38"/>
      <c r="O26" s="38"/>
      <c r="P26" s="38"/>
      <c r="Q26" s="38"/>
    </row>
    <row r="27" spans="1:17">
      <c r="N27" s="38"/>
      <c r="O27" s="38"/>
      <c r="P27" s="38"/>
      <c r="Q27" s="38"/>
    </row>
    <row r="39" spans="1:13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2" spans="1:13">
      <c r="C42" s="15"/>
      <c r="D42" s="16"/>
      <c r="E42" s="17"/>
      <c r="F42" s="17"/>
      <c r="G42" s="16"/>
      <c r="H42" s="17"/>
      <c r="I42" s="17"/>
      <c r="J42" s="17"/>
      <c r="K42" s="17"/>
      <c r="L42" s="16"/>
      <c r="M42" s="16"/>
    </row>
    <row r="43" spans="1:13" ht="15.75">
      <c r="C43" s="15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11">
    <mergeCell ref="A39:M39"/>
    <mergeCell ref="I2:M2"/>
    <mergeCell ref="H4:M4"/>
    <mergeCell ref="A10:M10"/>
    <mergeCell ref="A11:J11"/>
    <mergeCell ref="A12:J12"/>
    <mergeCell ref="A14:A15"/>
    <mergeCell ref="B14:B15"/>
    <mergeCell ref="C14:E14"/>
    <mergeCell ref="F14:L14"/>
    <mergeCell ref="M14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zoomScale="60" zoomScaleNormal="60" workbookViewId="0">
      <selection activeCell="B2" sqref="B2"/>
    </sheetView>
  </sheetViews>
  <sheetFormatPr defaultColWidth="8.85546875" defaultRowHeight="15"/>
  <cols>
    <col min="1" max="1" width="7.28515625" style="1" customWidth="1"/>
    <col min="2" max="2" width="27.28515625" style="1" bestFit="1" customWidth="1"/>
    <col min="3" max="3" width="17.7109375" style="1" bestFit="1" customWidth="1"/>
    <col min="4" max="4" width="21" style="1" bestFit="1" customWidth="1"/>
    <col min="5" max="5" width="15.7109375" style="1" bestFit="1" customWidth="1"/>
    <col min="6" max="6" width="20.42578125" style="1" bestFit="1" customWidth="1"/>
    <col min="7" max="7" width="18.28515625" style="1" bestFit="1" customWidth="1"/>
    <col min="8" max="8" width="20.140625" style="1" bestFit="1" customWidth="1"/>
    <col min="9" max="9" width="18.28515625" style="1" bestFit="1" customWidth="1"/>
    <col min="10" max="10" width="10.7109375" style="1" bestFit="1" customWidth="1"/>
    <col min="11" max="11" width="18.85546875" style="1" bestFit="1" customWidth="1"/>
    <col min="12" max="12" width="16.28515625" style="1" bestFit="1" customWidth="1"/>
    <col min="13" max="13" width="27.5703125" style="1" bestFit="1" customWidth="1"/>
    <col min="14" max="15" width="18.28515625" style="1" bestFit="1" customWidth="1"/>
    <col min="16" max="16" width="17.140625" style="1" bestFit="1" customWidth="1"/>
    <col min="17" max="17" width="18.28515625" style="1" bestFit="1" customWidth="1"/>
    <col min="18" max="16384" width="8.85546875" style="1"/>
  </cols>
  <sheetData>
    <row r="2" spans="1:13" ht="18.75">
      <c r="I2" s="41" t="s">
        <v>22</v>
      </c>
      <c r="J2" s="41"/>
      <c r="K2" s="41"/>
      <c r="L2" s="41"/>
      <c r="M2" s="41"/>
    </row>
    <row r="4" spans="1:13" ht="15.75">
      <c r="G4" s="2"/>
      <c r="H4" s="42" t="s">
        <v>21</v>
      </c>
      <c r="I4" s="42"/>
      <c r="J4" s="42"/>
      <c r="K4" s="42"/>
      <c r="L4" s="42"/>
      <c r="M4" s="42"/>
    </row>
    <row r="5" spans="1:13" ht="15.75">
      <c r="H5" s="3"/>
      <c r="I5" s="3"/>
      <c r="J5" s="3"/>
      <c r="K5" s="3"/>
      <c r="L5" s="3"/>
      <c r="M5" s="3"/>
    </row>
    <row r="6" spans="1:13" ht="15.75">
      <c r="H6" s="4"/>
      <c r="I6" s="4"/>
      <c r="J6" s="5"/>
      <c r="K6" s="5"/>
      <c r="L6" s="5"/>
      <c r="M6" s="6" t="s">
        <v>23</v>
      </c>
    </row>
    <row r="7" spans="1:13" ht="15.75">
      <c r="H7" s="3"/>
      <c r="I7" s="3"/>
      <c r="J7" s="3"/>
      <c r="K7" s="3"/>
      <c r="L7" s="3"/>
      <c r="M7" s="3"/>
    </row>
    <row r="8" spans="1:13" ht="15.75">
      <c r="H8" s="6"/>
      <c r="I8" s="3"/>
      <c r="J8" s="4"/>
      <c r="K8" s="3" t="s">
        <v>25</v>
      </c>
      <c r="L8" s="4" t="s">
        <v>24</v>
      </c>
      <c r="M8" s="3" t="s">
        <v>27</v>
      </c>
    </row>
    <row r="10" spans="1:13" ht="66" customHeight="1">
      <c r="A10" s="43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7"/>
      <c r="L11" s="7"/>
      <c r="M11" s="7"/>
    </row>
    <row r="12" spans="1:13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46" t="s">
        <v>0</v>
      </c>
      <c r="B14" s="46" t="s">
        <v>1</v>
      </c>
      <c r="C14" s="48" t="s">
        <v>2</v>
      </c>
      <c r="D14" s="49"/>
      <c r="E14" s="50"/>
      <c r="F14" s="51" t="s">
        <v>3</v>
      </c>
      <c r="G14" s="52"/>
      <c r="H14" s="52"/>
      <c r="I14" s="52"/>
      <c r="J14" s="52"/>
      <c r="K14" s="52"/>
      <c r="L14" s="53"/>
      <c r="M14" s="46" t="s">
        <v>4</v>
      </c>
    </row>
    <row r="15" spans="1:13" ht="204.75">
      <c r="A15" s="47"/>
      <c r="B15" s="47"/>
      <c r="C15" s="9" t="s">
        <v>5</v>
      </c>
      <c r="D15" s="9" t="s">
        <v>6</v>
      </c>
      <c r="E15" s="9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9" t="s">
        <v>14</v>
      </c>
      <c r="M15" s="47"/>
    </row>
    <row r="16" spans="1:13" ht="31.5">
      <c r="A16" s="9">
        <v>1</v>
      </c>
      <c r="B16" s="9">
        <v>2</v>
      </c>
      <c r="C16" s="10" t="s">
        <v>15</v>
      </c>
      <c r="D16" s="9">
        <v>4</v>
      </c>
      <c r="E16" s="9">
        <v>5</v>
      </c>
      <c r="F16" s="10" t="s">
        <v>16</v>
      </c>
      <c r="G16" s="9">
        <v>7</v>
      </c>
      <c r="H16" s="9">
        <v>8</v>
      </c>
      <c r="I16" s="10" t="s">
        <v>17</v>
      </c>
      <c r="J16" s="9">
        <v>10</v>
      </c>
      <c r="K16" s="9">
        <v>11</v>
      </c>
      <c r="L16" s="10" t="s">
        <v>18</v>
      </c>
      <c r="M16" s="9" t="s">
        <v>19</v>
      </c>
    </row>
    <row r="17" spans="1:17" ht="43.15" customHeight="1">
      <c r="A17" s="9">
        <v>1</v>
      </c>
      <c r="B17" s="12" t="s">
        <v>26</v>
      </c>
      <c r="C17" s="13">
        <f>2008048.46*1.094+1326.32</f>
        <v>2198131.3352399999</v>
      </c>
      <c r="D17" s="13">
        <f>27663.02*1.094</f>
        <v>30263.343880000004</v>
      </c>
      <c r="E17" s="13">
        <v>0</v>
      </c>
      <c r="F17" s="13">
        <f>40271.28*1.094</f>
        <v>44056.780320000005</v>
      </c>
      <c r="G17" s="13">
        <f>75889.09*1.094</f>
        <v>83022.66446</v>
      </c>
      <c r="H17" s="13">
        <f>2065.78*1.094</f>
        <v>2259.9633200000003</v>
      </c>
      <c r="I17" s="13">
        <f>26741.39*1.094</f>
        <v>29255.080660000003</v>
      </c>
      <c r="J17" s="13">
        <v>0</v>
      </c>
      <c r="K17" s="13">
        <f>537717.5*1.094</f>
        <v>588262.94500000007</v>
      </c>
      <c r="L17" s="13">
        <f>60192.94*1.094</f>
        <v>65851.076360000006</v>
      </c>
      <c r="M17" s="14">
        <f>SUM(C17:L17)</f>
        <v>3041103.1892399997</v>
      </c>
    </row>
    <row r="18" spans="1:17" ht="78.75">
      <c r="A18" s="9">
        <v>2</v>
      </c>
      <c r="B18" s="12" t="s">
        <v>20</v>
      </c>
      <c r="C18" s="13">
        <f>11204.89*1.16</f>
        <v>12997.672399999998</v>
      </c>
      <c r="D18" s="13">
        <f>205.7*1.16</f>
        <v>238.61199999999997</v>
      </c>
      <c r="E18" s="13">
        <v>0</v>
      </c>
      <c r="F18" s="13">
        <f>457.46*1.16</f>
        <v>530.65359999999998</v>
      </c>
      <c r="G18" s="13">
        <f>279.65*1.16</f>
        <v>324.39399999999995</v>
      </c>
      <c r="H18" s="13">
        <f>8.33*1.16</f>
        <v>9.6627999999999989</v>
      </c>
      <c r="I18" s="13">
        <f>194.53*1.16</f>
        <v>225.65479999999999</v>
      </c>
      <c r="J18" s="13">
        <v>0</v>
      </c>
      <c r="K18" s="13">
        <f>3974.06*1.16</f>
        <v>4609.9096</v>
      </c>
      <c r="L18" s="13">
        <f>743.45*1.16+9.87</f>
        <v>872.27200000000005</v>
      </c>
      <c r="M18" s="14">
        <f t="shared" ref="M18" si="0">SUM(C18:L18)</f>
        <v>19808.831199999997</v>
      </c>
    </row>
    <row r="19" spans="1:17" ht="31.5">
      <c r="A19" s="9">
        <v>3</v>
      </c>
      <c r="B19" s="12" t="s">
        <v>28</v>
      </c>
      <c r="C19" s="13">
        <f>2561578.99909482*1.04+9460.11</f>
        <v>2673502.2690586131</v>
      </c>
      <c r="D19" s="13">
        <f>27663.0207489879*1.04</f>
        <v>28769.541578947417</v>
      </c>
      <c r="E19" s="13">
        <v>0</v>
      </c>
      <c r="F19" s="13">
        <f>40271.2798*1.04</f>
        <v>41882.130991999999</v>
      </c>
      <c r="G19" s="13">
        <f>75889.0871*1.04</f>
        <v>78924.650584000003</v>
      </c>
      <c r="H19" s="13">
        <f>2065.784*1.04</f>
        <v>2148.41536</v>
      </c>
      <c r="I19" s="13">
        <f>26741.3936*1.04</f>
        <v>27811.049343999999</v>
      </c>
      <c r="J19" s="13">
        <v>0</v>
      </c>
      <c r="K19" s="13">
        <f>578717*1.04</f>
        <v>601865.68000000005</v>
      </c>
      <c r="L19" s="13">
        <f>60188.7192999999*1.04</f>
        <v>62596.268071999897</v>
      </c>
      <c r="M19" s="14">
        <v>3517500</v>
      </c>
    </row>
    <row r="21" spans="1:17">
      <c r="N21" s="11"/>
      <c r="O21" s="11"/>
      <c r="P21" s="11"/>
      <c r="Q21" s="11"/>
    </row>
    <row r="22" spans="1:17">
      <c r="N22" s="11"/>
      <c r="O22" s="11"/>
      <c r="P22" s="11"/>
      <c r="Q22" s="11"/>
    </row>
    <row r="23" spans="1:17">
      <c r="N23" s="11"/>
      <c r="O23" s="11"/>
      <c r="P23" s="11"/>
      <c r="Q23" s="11"/>
    </row>
    <row r="24" spans="1:17">
      <c r="N24" s="11"/>
      <c r="O24" s="11"/>
      <c r="P24" s="11"/>
      <c r="Q24" s="11"/>
    </row>
    <row r="25" spans="1:17">
      <c r="C25" s="11"/>
      <c r="N25" s="11"/>
      <c r="O25" s="11"/>
      <c r="P25" s="11"/>
      <c r="Q25" s="11"/>
    </row>
    <row r="26" spans="1:17">
      <c r="N26" s="11"/>
      <c r="O26" s="11"/>
      <c r="P26" s="11"/>
      <c r="Q26" s="11"/>
    </row>
    <row r="27" spans="1:17">
      <c r="N27" s="11"/>
      <c r="O27" s="11"/>
      <c r="P27" s="11"/>
      <c r="Q27" s="11"/>
    </row>
    <row r="39" spans="1:13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2" spans="1:13">
      <c r="C42" s="15"/>
      <c r="D42" s="16"/>
      <c r="E42" s="17"/>
      <c r="F42" s="17"/>
      <c r="G42" s="16"/>
      <c r="H42" s="17"/>
      <c r="I42" s="17"/>
      <c r="J42" s="17"/>
      <c r="K42" s="17"/>
      <c r="L42" s="16"/>
      <c r="M42" s="16"/>
    </row>
    <row r="43" spans="1:13" ht="15.75">
      <c r="C43" s="15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11">
    <mergeCell ref="A39:M39"/>
    <mergeCell ref="I2:M2"/>
    <mergeCell ref="H4:M4"/>
    <mergeCell ref="A10:M10"/>
    <mergeCell ref="A11:J11"/>
    <mergeCell ref="A12:J12"/>
    <mergeCell ref="A14:A15"/>
    <mergeCell ref="B14:B15"/>
    <mergeCell ref="C14:E14"/>
    <mergeCell ref="F14:L14"/>
    <mergeCell ref="M14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</vt:lpstr>
      <vt:lpstr>2020 </vt:lpstr>
      <vt:lpstr>2021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borisova</dc:creator>
  <cp:lastModifiedBy>novikovaov</cp:lastModifiedBy>
  <cp:lastPrinted>2018-08-17T09:22:04Z</cp:lastPrinted>
  <dcterms:created xsi:type="dcterms:W3CDTF">2018-07-05T10:31:16Z</dcterms:created>
  <dcterms:modified xsi:type="dcterms:W3CDTF">2018-08-30T07:04:11Z</dcterms:modified>
</cp:coreProperties>
</file>