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7235" windowHeight="110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Лист1!$A$7:$CB$93</definedName>
    <definedName name="_xlnm.Print_Area" localSheetId="0">Лист1!$A$1:$CD$93</definedName>
  </definedNames>
  <calcPr calcId="125725"/>
</workbook>
</file>

<file path=xl/calcChain.xml><?xml version="1.0" encoding="utf-8"?>
<calcChain xmlns="http://schemas.openxmlformats.org/spreadsheetml/2006/main">
  <c r="M77" i="1"/>
  <c r="M75"/>
  <c r="I73" l="1"/>
  <c r="M73"/>
  <c r="H13"/>
  <c r="G13"/>
  <c r="I13"/>
  <c r="H87"/>
  <c r="G87"/>
  <c r="M87"/>
  <c r="I87"/>
  <c r="G22" l="1"/>
  <c r="I65" l="1"/>
  <c r="M55" l="1"/>
  <c r="I55"/>
  <c r="H55"/>
  <c r="G55"/>
  <c r="G21" l="1"/>
  <c r="M35" l="1"/>
  <c r="I35"/>
  <c r="H35"/>
  <c r="G35"/>
  <c r="I32" l="1"/>
  <c r="I22" l="1"/>
  <c r="J22" s="1"/>
  <c r="D59" l="1"/>
  <c r="G54" l="1"/>
  <c r="M54"/>
  <c r="I54"/>
  <c r="H54"/>
  <c r="I20" l="1"/>
  <c r="H20"/>
  <c r="G20"/>
  <c r="H50" l="1"/>
  <c r="G50"/>
  <c r="I53" l="1"/>
  <c r="H53"/>
  <c r="G53"/>
  <c r="M53"/>
  <c r="H65" l="1"/>
  <c r="G65"/>
  <c r="M59" l="1"/>
  <c r="H59" l="1"/>
  <c r="G59"/>
  <c r="I59"/>
  <c r="J59" l="1"/>
  <c r="M32"/>
  <c r="M31" l="1"/>
  <c r="H31" l="1"/>
  <c r="G31"/>
  <c r="I31" l="1"/>
  <c r="D31"/>
  <c r="H62"/>
  <c r="G62"/>
  <c r="M72" l="1"/>
  <c r="I72"/>
  <c r="M88" l="1"/>
  <c r="M79"/>
  <c r="M78"/>
  <c r="M64"/>
  <c r="M45"/>
  <c r="M22"/>
  <c r="M20"/>
  <c r="M13"/>
  <c r="M12"/>
  <c r="M11"/>
  <c r="M10"/>
  <c r="M9"/>
  <c r="M8"/>
  <c r="I8"/>
  <c r="M48"/>
  <c r="I48"/>
  <c r="H48" l="1"/>
  <c r="G48"/>
  <c r="M57" l="1"/>
  <c r="I57"/>
  <c r="G45"/>
  <c r="I70"/>
  <c r="H70"/>
  <c r="G70"/>
  <c r="M70"/>
  <c r="I66" l="1"/>
  <c r="H66"/>
  <c r="G66"/>
  <c r="I39"/>
  <c r="H27" l="1"/>
  <c r="I29" l="1"/>
  <c r="M29" l="1"/>
  <c r="H29"/>
  <c r="G29"/>
  <c r="D29"/>
  <c r="M71"/>
  <c r="H71"/>
  <c r="G71"/>
  <c r="I78" l="1"/>
  <c r="I71"/>
  <c r="J71" s="1"/>
  <c r="BX71"/>
  <c r="M19"/>
  <c r="H72" l="1"/>
  <c r="G72"/>
  <c r="M69"/>
  <c r="I69"/>
  <c r="M68"/>
  <c r="M67" l="1"/>
  <c r="I67"/>
  <c r="H67"/>
  <c r="G67"/>
  <c r="H63"/>
  <c r="G63"/>
  <c r="M65"/>
  <c r="M66"/>
  <c r="H73" l="1"/>
  <c r="G73"/>
  <c r="M63" l="1"/>
  <c r="I63"/>
  <c r="M74"/>
  <c r="I74"/>
  <c r="AQ74"/>
  <c r="G74"/>
  <c r="H78"/>
  <c r="G78"/>
  <c r="M62"/>
  <c r="I62"/>
  <c r="M61"/>
  <c r="I61"/>
  <c r="H61"/>
  <c r="G61"/>
  <c r="M60" l="1"/>
  <c r="I60"/>
  <c r="H60"/>
  <c r="G60"/>
  <c r="M58" l="1"/>
  <c r="I58"/>
  <c r="I56" l="1"/>
  <c r="M56"/>
  <c r="I51" l="1"/>
  <c r="M51"/>
  <c r="H51" l="1"/>
  <c r="G51"/>
  <c r="I52" l="1"/>
  <c r="M52"/>
  <c r="BQ53"/>
  <c r="G57" l="1"/>
  <c r="I77"/>
  <c r="M25" l="1"/>
  <c r="I25"/>
  <c r="H25"/>
  <c r="G25"/>
  <c r="J25" s="1"/>
  <c r="M50" l="1"/>
  <c r="I50"/>
  <c r="I49" l="1"/>
  <c r="H49"/>
  <c r="G49"/>
  <c r="M49"/>
  <c r="M76"/>
  <c r="M80"/>
  <c r="M81"/>
  <c r="M82"/>
  <c r="M83"/>
  <c r="M84"/>
  <c r="M89"/>
  <c r="M90"/>
  <c r="M92"/>
  <c r="CB46" l="1"/>
  <c r="BX46"/>
  <c r="BQ46"/>
  <c r="BM46"/>
  <c r="BF46"/>
  <c r="BB46"/>
  <c r="AU46"/>
  <c r="AQ46"/>
  <c r="AJ46"/>
  <c r="AF46"/>
  <c r="Y46"/>
  <c r="U46"/>
  <c r="M46"/>
  <c r="I46"/>
  <c r="H46"/>
  <c r="G46"/>
  <c r="CB47"/>
  <c r="BX47"/>
  <c r="BT47"/>
  <c r="BQ47"/>
  <c r="BM47"/>
  <c r="BI47"/>
  <c r="BF47"/>
  <c r="BB47"/>
  <c r="AX47"/>
  <c r="AU47"/>
  <c r="AQ47"/>
  <c r="AM47"/>
  <c r="AJ47"/>
  <c r="AF47"/>
  <c r="AB47"/>
  <c r="Y47"/>
  <c r="U47"/>
  <c r="Q47"/>
  <c r="M47"/>
  <c r="I47"/>
  <c r="H47"/>
  <c r="G47"/>
  <c r="E47"/>
  <c r="D47"/>
  <c r="CB25"/>
  <c r="BX25"/>
  <c r="BQ25"/>
  <c r="BM25"/>
  <c r="BF25"/>
  <c r="BB25"/>
  <c r="AU25"/>
  <c r="AQ25"/>
  <c r="AJ25"/>
  <c r="AF25"/>
  <c r="Y25"/>
  <c r="U25"/>
  <c r="F47" l="1"/>
  <c r="N47"/>
  <c r="N46"/>
  <c r="J46"/>
  <c r="N25"/>
  <c r="J47"/>
  <c r="H77"/>
  <c r="G77"/>
  <c r="I89"/>
  <c r="H89"/>
  <c r="G89"/>
  <c r="I90"/>
  <c r="H90"/>
  <c r="G90"/>
  <c r="J89" l="1"/>
  <c r="J90"/>
  <c r="J77"/>
  <c r="I75"/>
  <c r="H75"/>
  <c r="G75"/>
  <c r="I76"/>
  <c r="H76"/>
  <c r="G76"/>
  <c r="J76" l="1"/>
  <c r="J75"/>
  <c r="I79"/>
  <c r="H79"/>
  <c r="G79"/>
  <c r="M21"/>
  <c r="I21"/>
  <c r="H21"/>
  <c r="J79" l="1"/>
  <c r="M44"/>
  <c r="I44"/>
  <c r="M43"/>
  <c r="I43"/>
  <c r="H80"/>
  <c r="G80"/>
  <c r="I80"/>
  <c r="I42"/>
  <c r="H42"/>
  <c r="G42"/>
  <c r="M41"/>
  <c r="M42"/>
  <c r="J80" l="1"/>
  <c r="H41"/>
  <c r="G41"/>
  <c r="I41"/>
  <c r="M40"/>
  <c r="I40"/>
  <c r="G40"/>
  <c r="H40"/>
  <c r="I82"/>
  <c r="H82"/>
  <c r="G82"/>
  <c r="I84"/>
  <c r="H84"/>
  <c r="G84"/>
  <c r="J82" l="1"/>
  <c r="J84"/>
  <c r="H88"/>
  <c r="G88"/>
  <c r="I88"/>
  <c r="J88" l="1"/>
  <c r="H57"/>
  <c r="J57" l="1"/>
  <c r="M39"/>
  <c r="H39"/>
  <c r="G39"/>
  <c r="M37" l="1"/>
  <c r="I37"/>
  <c r="H37"/>
  <c r="G37"/>
  <c r="H34" l="1"/>
  <c r="M34"/>
  <c r="I34"/>
  <c r="G34"/>
  <c r="M28" l="1"/>
  <c r="I28"/>
  <c r="H28"/>
  <c r="G28"/>
  <c r="D28"/>
  <c r="M38" l="1"/>
  <c r="G38"/>
  <c r="H38"/>
  <c r="I38"/>
  <c r="M33" l="1"/>
  <c r="I33"/>
  <c r="H32" l="1"/>
  <c r="G32"/>
  <c r="I17" l="1"/>
  <c r="M17"/>
  <c r="H17"/>
  <c r="G17"/>
  <c r="J29"/>
  <c r="M26" l="1"/>
  <c r="H26"/>
  <c r="G26"/>
  <c r="I26"/>
  <c r="M27" l="1"/>
  <c r="I27"/>
  <c r="I18" l="1"/>
  <c r="G18" l="1"/>
  <c r="M16" l="1"/>
  <c r="H16"/>
  <c r="I92" l="1"/>
  <c r="H92"/>
  <c r="G92"/>
  <c r="J92" l="1"/>
  <c r="CA93"/>
  <c r="BW93"/>
  <c r="BV93"/>
  <c r="BU93"/>
  <c r="BP93"/>
  <c r="BL93"/>
  <c r="BK93"/>
  <c r="BJ93"/>
  <c r="BE93"/>
  <c r="BA93"/>
  <c r="AZ93"/>
  <c r="AY93"/>
  <c r="AT93"/>
  <c r="AP93"/>
  <c r="AO93"/>
  <c r="AN93"/>
  <c r="AI93"/>
  <c r="AE93"/>
  <c r="AD93"/>
  <c r="AC93"/>
  <c r="X93"/>
  <c r="T93"/>
  <c r="S93"/>
  <c r="R93"/>
  <c r="I16"/>
  <c r="M23"/>
  <c r="I23"/>
  <c r="AF93" l="1"/>
  <c r="Y93"/>
  <c r="U93"/>
  <c r="I81"/>
  <c r="H81"/>
  <c r="G81"/>
  <c r="J81" l="1"/>
  <c r="G16"/>
  <c r="M18" l="1"/>
  <c r="H18"/>
  <c r="D18"/>
  <c r="H15"/>
  <c r="G15"/>
  <c r="M15"/>
  <c r="I15"/>
  <c r="H14" l="1"/>
  <c r="G14"/>
  <c r="M14"/>
  <c r="I14"/>
  <c r="I19" l="1"/>
  <c r="H19"/>
  <c r="G19"/>
  <c r="AM81" l="1"/>
  <c r="AB81"/>
  <c r="AB82"/>
  <c r="Q81"/>
  <c r="F81"/>
  <c r="AX81"/>
  <c r="M30" l="1"/>
  <c r="H30"/>
  <c r="G30"/>
  <c r="I30"/>
  <c r="M36" l="1"/>
  <c r="I36"/>
  <c r="H36"/>
  <c r="G36"/>
  <c r="I11" l="1"/>
  <c r="E11"/>
  <c r="I12" l="1"/>
  <c r="E8" l="1"/>
  <c r="H8"/>
  <c r="G8"/>
  <c r="I9"/>
  <c r="H9"/>
  <c r="G9"/>
  <c r="BH93"/>
  <c r="M24" l="1"/>
  <c r="M93" s="1"/>
  <c r="I24"/>
  <c r="H24"/>
  <c r="G24"/>
  <c r="CB93" l="1"/>
  <c r="CB9"/>
  <c r="CB10"/>
  <c r="CB11"/>
  <c r="CB12"/>
  <c r="CB13"/>
  <c r="CB14"/>
  <c r="CB15"/>
  <c r="CB16"/>
  <c r="CB17"/>
  <c r="CB18"/>
  <c r="CB19"/>
  <c r="CB20"/>
  <c r="CB21"/>
  <c r="CB22"/>
  <c r="CB23"/>
  <c r="CB24"/>
  <c r="CB26"/>
  <c r="CB27"/>
  <c r="CB28"/>
  <c r="CB29"/>
  <c r="CB30"/>
  <c r="CB31"/>
  <c r="CB32"/>
  <c r="CB33"/>
  <c r="CB34"/>
  <c r="CB35"/>
  <c r="CB36"/>
  <c r="CB37"/>
  <c r="CB38"/>
  <c r="CB39"/>
  <c r="CB40"/>
  <c r="CB41"/>
  <c r="CB42"/>
  <c r="CB43"/>
  <c r="CB44"/>
  <c r="CB45"/>
  <c r="CB48"/>
  <c r="CB49"/>
  <c r="CB50"/>
  <c r="CB51"/>
  <c r="CB52"/>
  <c r="CB53"/>
  <c r="CB54"/>
  <c r="CB55"/>
  <c r="CB56"/>
  <c r="CB57"/>
  <c r="CB58"/>
  <c r="CB59"/>
  <c r="CB60"/>
  <c r="CB61"/>
  <c r="CB62"/>
  <c r="CB63"/>
  <c r="CB64"/>
  <c r="CB65"/>
  <c r="CB66"/>
  <c r="CB67"/>
  <c r="CB68"/>
  <c r="CB69"/>
  <c r="CB70"/>
  <c r="CB71"/>
  <c r="CB72"/>
  <c r="CB73"/>
  <c r="CB74"/>
  <c r="CB75"/>
  <c r="CB76"/>
  <c r="CB77"/>
  <c r="CB78"/>
  <c r="CB79"/>
  <c r="CB80"/>
  <c r="CB81"/>
  <c r="CB82"/>
  <c r="CB83"/>
  <c r="CB84"/>
  <c r="CB87"/>
  <c r="CB88"/>
  <c r="CB89"/>
  <c r="CB90"/>
  <c r="CB92"/>
  <c r="CB8"/>
  <c r="BQ10"/>
  <c r="BQ11"/>
  <c r="BQ12"/>
  <c r="BQ13"/>
  <c r="BQ14"/>
  <c r="BQ15"/>
  <c r="BQ16"/>
  <c r="BQ17"/>
  <c r="BQ18"/>
  <c r="BQ19"/>
  <c r="BQ20"/>
  <c r="BQ21"/>
  <c r="BQ22"/>
  <c r="BQ23"/>
  <c r="BQ24"/>
  <c r="BQ26"/>
  <c r="BQ27"/>
  <c r="BQ28"/>
  <c r="BQ29"/>
  <c r="BQ31"/>
  <c r="BQ32"/>
  <c r="BQ33"/>
  <c r="BQ34"/>
  <c r="BQ35"/>
  <c r="BQ36"/>
  <c r="BQ37"/>
  <c r="BQ38"/>
  <c r="BQ39"/>
  <c r="BQ40"/>
  <c r="BQ41"/>
  <c r="BQ42"/>
  <c r="BQ43"/>
  <c r="BQ44"/>
  <c r="BQ45"/>
  <c r="BQ48"/>
  <c r="BQ49"/>
  <c r="BQ50"/>
  <c r="BQ51"/>
  <c r="BQ52"/>
  <c r="BQ54"/>
  <c r="BQ55"/>
  <c r="BQ56"/>
  <c r="BQ58"/>
  <c r="BQ59"/>
  <c r="BQ60"/>
  <c r="BQ61"/>
  <c r="BQ62"/>
  <c r="BQ63"/>
  <c r="BQ64"/>
  <c r="BQ65"/>
  <c r="BQ66"/>
  <c r="BQ67"/>
  <c r="BQ68"/>
  <c r="BQ69"/>
  <c r="BQ70"/>
  <c r="BQ73"/>
  <c r="BQ75"/>
  <c r="BQ76"/>
  <c r="BQ77"/>
  <c r="BQ79"/>
  <c r="BQ81"/>
  <c r="BQ82"/>
  <c r="BQ84"/>
  <c r="BQ87"/>
  <c r="BQ89"/>
  <c r="BQ92"/>
  <c r="BQ93"/>
  <c r="BQ8"/>
  <c r="BF9"/>
  <c r="BF10"/>
  <c r="BF11"/>
  <c r="BF12"/>
  <c r="BF13"/>
  <c r="BF14"/>
  <c r="BF15"/>
  <c r="BF16"/>
  <c r="BF17"/>
  <c r="BF18"/>
  <c r="BF19"/>
  <c r="BF20"/>
  <c r="BF21"/>
  <c r="BF22"/>
  <c r="BF23"/>
  <c r="BF24"/>
  <c r="BF26"/>
  <c r="BF27"/>
  <c r="BF28"/>
  <c r="BF29"/>
  <c r="BF30"/>
  <c r="BF31"/>
  <c r="BF32"/>
  <c r="BF33"/>
  <c r="BF34"/>
  <c r="BF35"/>
  <c r="BF36"/>
  <c r="BF37"/>
  <c r="BF38"/>
  <c r="BF39"/>
  <c r="BF40"/>
  <c r="BF41"/>
  <c r="BF42"/>
  <c r="BF43"/>
  <c r="BF44"/>
  <c r="BF45"/>
  <c r="BF48"/>
  <c r="BF49"/>
  <c r="BF50"/>
  <c r="BF51"/>
  <c r="BF52"/>
  <c r="BF53"/>
  <c r="BF54"/>
  <c r="BF55"/>
  <c r="BF56"/>
  <c r="BF57"/>
  <c r="BF58"/>
  <c r="BF59"/>
  <c r="BF60"/>
  <c r="BF61"/>
  <c r="BF62"/>
  <c r="BF63"/>
  <c r="BF64"/>
  <c r="BF65"/>
  <c r="BF66"/>
  <c r="BF67"/>
  <c r="BF68"/>
  <c r="BF69"/>
  <c r="BF70"/>
  <c r="BF71"/>
  <c r="BF72"/>
  <c r="BF73"/>
  <c r="BF74"/>
  <c r="BF75"/>
  <c r="BF76"/>
  <c r="BF77"/>
  <c r="BF78"/>
  <c r="BF79"/>
  <c r="BF80"/>
  <c r="BF81"/>
  <c r="BF82"/>
  <c r="BF83"/>
  <c r="BF84"/>
  <c r="BF87"/>
  <c r="BF88"/>
  <c r="BF89"/>
  <c r="BF90"/>
  <c r="BF92"/>
  <c r="BF93"/>
  <c r="BF8"/>
  <c r="AU9"/>
  <c r="AU10"/>
  <c r="AU11"/>
  <c r="AU12"/>
  <c r="AU13"/>
  <c r="AU14"/>
  <c r="AU15"/>
  <c r="AU16"/>
  <c r="AU17"/>
  <c r="AU18"/>
  <c r="AU19"/>
  <c r="AU20"/>
  <c r="AU21"/>
  <c r="AU22"/>
  <c r="AU23"/>
  <c r="AU24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7"/>
  <c r="AU88"/>
  <c r="AU89"/>
  <c r="AU90"/>
  <c r="AU92"/>
  <c r="AU93"/>
  <c r="AU8"/>
  <c r="AJ9"/>
  <c r="AJ10"/>
  <c r="AJ11"/>
  <c r="AJ12"/>
  <c r="AJ13"/>
  <c r="AJ14"/>
  <c r="AJ15"/>
  <c r="AJ16"/>
  <c r="AJ17"/>
  <c r="AJ18"/>
  <c r="AJ19"/>
  <c r="AJ20"/>
  <c r="AJ21"/>
  <c r="AJ22"/>
  <c r="AJ23"/>
  <c r="AJ24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8"/>
  <c r="AJ79"/>
  <c r="AJ80"/>
  <c r="AJ81"/>
  <c r="AJ82"/>
  <c r="AJ83"/>
  <c r="AJ84"/>
  <c r="AJ88"/>
  <c r="AJ89"/>
  <c r="AJ90"/>
  <c r="AJ92"/>
  <c r="AJ93"/>
  <c r="AJ8"/>
  <c r="Y9"/>
  <c r="Y10"/>
  <c r="Y11"/>
  <c r="Y12"/>
  <c r="Y13"/>
  <c r="Y14"/>
  <c r="Y15"/>
  <c r="Y16"/>
  <c r="Y17"/>
  <c r="Y18"/>
  <c r="Y19"/>
  <c r="Y20"/>
  <c r="Y21"/>
  <c r="Y22"/>
  <c r="Y23"/>
  <c r="Y24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7"/>
  <c r="Y88"/>
  <c r="Y89"/>
  <c r="Y90"/>
  <c r="Y92"/>
  <c r="Y8"/>
  <c r="H10"/>
  <c r="H11"/>
  <c r="H12"/>
  <c r="H22"/>
  <c r="H23"/>
  <c r="H33"/>
  <c r="H43"/>
  <c r="H44"/>
  <c r="H45"/>
  <c r="H52"/>
  <c r="H56"/>
  <c r="H58"/>
  <c r="H64"/>
  <c r="H68"/>
  <c r="H69"/>
  <c r="H74"/>
  <c r="H83"/>
  <c r="H85"/>
  <c r="H86"/>
  <c r="H91"/>
  <c r="BX9"/>
  <c r="BX10"/>
  <c r="BX11"/>
  <c r="BX12"/>
  <c r="BX13"/>
  <c r="BX14"/>
  <c r="BX15"/>
  <c r="BX16"/>
  <c r="BX17"/>
  <c r="BX18"/>
  <c r="BX19"/>
  <c r="BX20"/>
  <c r="BX21"/>
  <c r="BX22"/>
  <c r="BX23"/>
  <c r="BX24"/>
  <c r="BX26"/>
  <c r="BX27"/>
  <c r="BX28"/>
  <c r="BX29"/>
  <c r="BX30"/>
  <c r="BX31"/>
  <c r="BX32"/>
  <c r="BX33"/>
  <c r="BX34"/>
  <c r="BX35"/>
  <c r="BX36"/>
  <c r="BX37"/>
  <c r="BX38"/>
  <c r="BX39"/>
  <c r="BX40"/>
  <c r="BX41"/>
  <c r="BX42"/>
  <c r="BX43"/>
  <c r="BX44"/>
  <c r="BX45"/>
  <c r="BX48"/>
  <c r="BX49"/>
  <c r="BX50"/>
  <c r="BX51"/>
  <c r="BX52"/>
  <c r="BX53"/>
  <c r="BX54"/>
  <c r="BX55"/>
  <c r="BX56"/>
  <c r="BX57"/>
  <c r="BX58"/>
  <c r="BX59"/>
  <c r="BX60"/>
  <c r="BX61"/>
  <c r="BX62"/>
  <c r="BX63"/>
  <c r="BX64"/>
  <c r="BX65"/>
  <c r="BX66"/>
  <c r="BX67"/>
  <c r="BX68"/>
  <c r="BX69"/>
  <c r="BX70"/>
  <c r="BX72"/>
  <c r="BX73"/>
  <c r="BX74"/>
  <c r="BX75"/>
  <c r="BX76"/>
  <c r="BX77"/>
  <c r="BX78"/>
  <c r="BX79"/>
  <c r="BX80"/>
  <c r="BX81"/>
  <c r="BX82"/>
  <c r="BX83"/>
  <c r="BX84"/>
  <c r="BX87"/>
  <c r="BX88"/>
  <c r="BX89"/>
  <c r="BX90"/>
  <c r="BX92"/>
  <c r="BX93"/>
  <c r="BM10"/>
  <c r="BM11"/>
  <c r="BM12"/>
  <c r="BM13"/>
  <c r="BM14"/>
  <c r="BM15"/>
  <c r="BM16"/>
  <c r="BM17"/>
  <c r="BM18"/>
  <c r="BM19"/>
  <c r="BM20"/>
  <c r="BM21"/>
  <c r="BM22"/>
  <c r="BM23"/>
  <c r="BM24"/>
  <c r="BM26"/>
  <c r="BM27"/>
  <c r="BM28"/>
  <c r="BM29"/>
  <c r="BM31"/>
  <c r="BM32"/>
  <c r="BM33"/>
  <c r="BM34"/>
  <c r="BM35"/>
  <c r="BM36"/>
  <c r="BM37"/>
  <c r="BM38"/>
  <c r="BM39"/>
  <c r="BM40"/>
  <c r="BM41"/>
  <c r="BM42"/>
  <c r="BM43"/>
  <c r="BM44"/>
  <c r="BM45"/>
  <c r="BM48"/>
  <c r="BM49"/>
  <c r="BM50"/>
  <c r="BM51"/>
  <c r="BM52"/>
  <c r="BM53"/>
  <c r="BM54"/>
  <c r="BM55"/>
  <c r="BM56"/>
  <c r="BM58"/>
  <c r="BM59"/>
  <c r="BM60"/>
  <c r="BM61"/>
  <c r="BM62"/>
  <c r="BM63"/>
  <c r="BM64"/>
  <c r="BM65"/>
  <c r="BM66"/>
  <c r="BM67"/>
  <c r="BM68"/>
  <c r="BM69"/>
  <c r="BM70"/>
  <c r="BM73"/>
  <c r="BM75"/>
  <c r="BM76"/>
  <c r="BM77"/>
  <c r="BM79"/>
  <c r="BM81"/>
  <c r="BM82"/>
  <c r="BM84"/>
  <c r="BM87"/>
  <c r="BM89"/>
  <c r="BM92"/>
  <c r="BM93"/>
  <c r="BX8"/>
  <c r="BM8"/>
  <c r="BB9"/>
  <c r="BB10"/>
  <c r="BB11"/>
  <c r="BB12"/>
  <c r="BB13"/>
  <c r="BB14"/>
  <c r="BB15"/>
  <c r="BB16"/>
  <c r="BB17"/>
  <c r="BB18"/>
  <c r="BB19"/>
  <c r="BB20"/>
  <c r="BB21"/>
  <c r="BB22"/>
  <c r="BB23"/>
  <c r="BB24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8"/>
  <c r="BB49"/>
  <c r="BB50"/>
  <c r="BB51"/>
  <c r="BB52"/>
  <c r="BB53"/>
  <c r="BB54"/>
  <c r="BB55"/>
  <c r="BB56"/>
  <c r="BB57"/>
  <c r="BB58"/>
  <c r="BB59"/>
  <c r="BB60"/>
  <c r="BB61"/>
  <c r="BB62"/>
  <c r="BB63"/>
  <c r="BB64"/>
  <c r="BB65"/>
  <c r="BB66"/>
  <c r="BB67"/>
  <c r="BB68"/>
  <c r="BB69"/>
  <c r="BB70"/>
  <c r="BB71"/>
  <c r="BB72"/>
  <c r="BB73"/>
  <c r="BB74"/>
  <c r="BB75"/>
  <c r="BB76"/>
  <c r="BB77"/>
  <c r="BB78"/>
  <c r="BB79"/>
  <c r="BB80"/>
  <c r="BB81"/>
  <c r="BB82"/>
  <c r="BB83"/>
  <c r="BB84"/>
  <c r="BB87"/>
  <c r="BB88"/>
  <c r="BB89"/>
  <c r="BB90"/>
  <c r="BB92"/>
  <c r="BB93"/>
  <c r="BB8"/>
  <c r="AQ9"/>
  <c r="AQ10"/>
  <c r="AQ11"/>
  <c r="AQ12"/>
  <c r="AQ13"/>
  <c r="AQ14"/>
  <c r="AQ15"/>
  <c r="AQ16"/>
  <c r="AQ17"/>
  <c r="AQ18"/>
  <c r="AQ19"/>
  <c r="AQ20"/>
  <c r="AQ21"/>
  <c r="AQ22"/>
  <c r="AQ23"/>
  <c r="AQ24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5"/>
  <c r="AQ76"/>
  <c r="AQ77"/>
  <c r="AQ78"/>
  <c r="AQ79"/>
  <c r="AQ80"/>
  <c r="AQ81"/>
  <c r="AQ82"/>
  <c r="AQ83"/>
  <c r="AQ84"/>
  <c r="AQ87"/>
  <c r="AQ88"/>
  <c r="AQ89"/>
  <c r="AQ90"/>
  <c r="AQ92"/>
  <c r="AQ93"/>
  <c r="AQ8"/>
  <c r="AF9"/>
  <c r="AF10"/>
  <c r="AF11"/>
  <c r="AF12"/>
  <c r="AF13"/>
  <c r="AF14"/>
  <c r="AF15"/>
  <c r="AF16"/>
  <c r="AF17"/>
  <c r="AF18"/>
  <c r="AF19"/>
  <c r="AF20"/>
  <c r="AF21"/>
  <c r="AF22"/>
  <c r="AF23"/>
  <c r="AF24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8"/>
  <c r="AF79"/>
  <c r="AF80"/>
  <c r="AF81"/>
  <c r="AF82"/>
  <c r="AF83"/>
  <c r="AF84"/>
  <c r="AF88"/>
  <c r="AF89"/>
  <c r="AF90"/>
  <c r="AF92"/>
  <c r="AF8"/>
  <c r="U9"/>
  <c r="U10"/>
  <c r="U11"/>
  <c r="U12"/>
  <c r="U13"/>
  <c r="U14"/>
  <c r="U15"/>
  <c r="U16"/>
  <c r="U17"/>
  <c r="U18"/>
  <c r="U19"/>
  <c r="U20"/>
  <c r="U21"/>
  <c r="U22"/>
  <c r="U23"/>
  <c r="U24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7"/>
  <c r="U89"/>
  <c r="U90"/>
  <c r="U92"/>
  <c r="U8"/>
  <c r="Q8"/>
  <c r="G10"/>
  <c r="G11"/>
  <c r="G12"/>
  <c r="G23"/>
  <c r="G27"/>
  <c r="G33"/>
  <c r="G43"/>
  <c r="G44"/>
  <c r="G52"/>
  <c r="G56"/>
  <c r="G58"/>
  <c r="G64"/>
  <c r="G68"/>
  <c r="G69"/>
  <c r="G83"/>
  <c r="G85"/>
  <c r="G86"/>
  <c r="G91"/>
  <c r="D8"/>
  <c r="H93" l="1"/>
  <c r="G93"/>
  <c r="AX8"/>
  <c r="J8"/>
  <c r="N8"/>
  <c r="J12"/>
  <c r="J13"/>
  <c r="J14"/>
  <c r="J16"/>
  <c r="J18"/>
  <c r="J20"/>
  <c r="J24"/>
  <c r="J27"/>
  <c r="J30"/>
  <c r="J31"/>
  <c r="J33"/>
  <c r="J35"/>
  <c r="J36"/>
  <c r="J37"/>
  <c r="J38"/>
  <c r="J39"/>
  <c r="J40"/>
  <c r="J41"/>
  <c r="J42"/>
  <c r="J43"/>
  <c r="J44"/>
  <c r="I45"/>
  <c r="J45" s="1"/>
  <c r="J48"/>
  <c r="J49"/>
  <c r="J50"/>
  <c r="J51"/>
  <c r="J52"/>
  <c r="J53"/>
  <c r="J54"/>
  <c r="J55"/>
  <c r="J56"/>
  <c r="J58"/>
  <c r="J60"/>
  <c r="J61"/>
  <c r="J62"/>
  <c r="J63"/>
  <c r="I64"/>
  <c r="J64" s="1"/>
  <c r="J65"/>
  <c r="J66"/>
  <c r="J67"/>
  <c r="I68"/>
  <c r="J68" s="1"/>
  <c r="J69"/>
  <c r="J70"/>
  <c r="J72"/>
  <c r="J73"/>
  <c r="J74"/>
  <c r="J78"/>
  <c r="I83"/>
  <c r="J83" s="1"/>
  <c r="I85"/>
  <c r="I86"/>
  <c r="J87"/>
  <c r="I91"/>
  <c r="J9"/>
  <c r="I10"/>
  <c r="J15"/>
  <c r="J17"/>
  <c r="J21"/>
  <c r="J23"/>
  <c r="J26"/>
  <c r="J28"/>
  <c r="J32"/>
  <c r="J34"/>
  <c r="F92"/>
  <c r="N9"/>
  <c r="N10"/>
  <c r="N11"/>
  <c r="N12"/>
  <c r="N13"/>
  <c r="N14"/>
  <c r="N15"/>
  <c r="N16"/>
  <c r="N17"/>
  <c r="N18"/>
  <c r="N19"/>
  <c r="N20"/>
  <c r="N21"/>
  <c r="N22"/>
  <c r="N23"/>
  <c r="N24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7"/>
  <c r="N88"/>
  <c r="N89"/>
  <c r="N90"/>
  <c r="N92"/>
  <c r="E89"/>
  <c r="D89"/>
  <c r="BT89"/>
  <c r="BI89"/>
  <c r="E64"/>
  <c r="D64"/>
  <c r="D40"/>
  <c r="E40"/>
  <c r="D26"/>
  <c r="N93" l="1"/>
  <c r="I93"/>
  <c r="J93" s="1"/>
  <c r="J10"/>
  <c r="J19"/>
  <c r="J11"/>
  <c r="D71"/>
  <c r="E35" l="1"/>
  <c r="D35"/>
  <c r="D88"/>
  <c r="E88"/>
  <c r="E9"/>
  <c r="E59"/>
  <c r="E41" l="1"/>
  <c r="D41"/>
  <c r="E61"/>
  <c r="D61"/>
  <c r="E70"/>
  <c r="D70"/>
  <c r="E50" l="1"/>
  <c r="D50"/>
  <c r="D51"/>
  <c r="E54"/>
  <c r="D54"/>
  <c r="E36" l="1"/>
  <c r="D36"/>
  <c r="E17" l="1"/>
  <c r="D17"/>
  <c r="E71"/>
  <c r="E26" l="1"/>
  <c r="F26" s="1"/>
  <c r="E51" l="1"/>
  <c r="E32"/>
  <c r="D32"/>
  <c r="E31"/>
  <c r="E72"/>
  <c r="BT31"/>
  <c r="D24"/>
  <c r="E20" l="1"/>
  <c r="D20"/>
  <c r="E38" l="1"/>
  <c r="D38"/>
  <c r="F38" l="1"/>
  <c r="E39"/>
  <c r="D39"/>
  <c r="D84"/>
  <c r="E84"/>
  <c r="E76"/>
  <c r="E87"/>
  <c r="D87"/>
  <c r="D30"/>
  <c r="E53"/>
  <c r="D53"/>
  <c r="D9" l="1"/>
  <c r="E90" l="1"/>
  <c r="D90"/>
  <c r="F90" l="1"/>
  <c r="E60"/>
  <c r="D60"/>
  <c r="D19"/>
  <c r="E48" l="1"/>
  <c r="D48"/>
  <c r="D10"/>
  <c r="E10"/>
  <c r="E19" l="1"/>
  <c r="D76" l="1"/>
  <c r="D72"/>
  <c r="E43" l="1"/>
  <c r="E22"/>
  <c r="E58" l="1"/>
  <c r="D49"/>
  <c r="E62"/>
  <c r="D62"/>
  <c r="E77" l="1"/>
  <c r="E49"/>
  <c r="E79"/>
  <c r="D79"/>
  <c r="D77"/>
  <c r="D23" l="1"/>
  <c r="E23"/>
  <c r="E29" l="1"/>
  <c r="E67" l="1"/>
  <c r="D67"/>
  <c r="E83"/>
  <c r="E78" l="1"/>
  <c r="D78"/>
  <c r="E56"/>
  <c r="E33"/>
  <c r="E69"/>
  <c r="E74"/>
  <c r="D74"/>
  <c r="E18"/>
  <c r="E42"/>
  <c r="D42"/>
  <c r="E24"/>
  <c r="BI24"/>
  <c r="AB9"/>
  <c r="AB10"/>
  <c r="AB11"/>
  <c r="AB17"/>
  <c r="AB18"/>
  <c r="AB19"/>
  <c r="AB20"/>
  <c r="AB23"/>
  <c r="AB24"/>
  <c r="AB29"/>
  <c r="AB30"/>
  <c r="AB31"/>
  <c r="AB32"/>
  <c r="AB33"/>
  <c r="AB35"/>
  <c r="AB36"/>
  <c r="AB38"/>
  <c r="AB39"/>
  <c r="AB40"/>
  <c r="AB42"/>
  <c r="AB43"/>
  <c r="AB49"/>
  <c r="AB50"/>
  <c r="AB51"/>
  <c r="AB53"/>
  <c r="AB54"/>
  <c r="AB56"/>
  <c r="AB58"/>
  <c r="AB59"/>
  <c r="AB60"/>
  <c r="AB61"/>
  <c r="AB62"/>
  <c r="AB64"/>
  <c r="AB67"/>
  <c r="AB69"/>
  <c r="AB71"/>
  <c r="AB72"/>
  <c r="AB74"/>
  <c r="AB76"/>
  <c r="AB78"/>
  <c r="AB79"/>
  <c r="AB83"/>
  <c r="AB84"/>
  <c r="AB88"/>
  <c r="AB90"/>
  <c r="AB8"/>
  <c r="E30"/>
  <c r="BS93"/>
  <c r="BR93"/>
  <c r="BG93"/>
  <c r="BI93" s="1"/>
  <c r="AW93"/>
  <c r="AV93"/>
  <c r="AL93"/>
  <c r="AK93"/>
  <c r="AA93"/>
  <c r="Z93"/>
  <c r="P93"/>
  <c r="O93"/>
  <c r="E28"/>
  <c r="BT9"/>
  <c r="BT10"/>
  <c r="BT11"/>
  <c r="BT17"/>
  <c r="BT18"/>
  <c r="BT19"/>
  <c r="BT20"/>
  <c r="BT22"/>
  <c r="BT23"/>
  <c r="BT24"/>
  <c r="BT28"/>
  <c r="BT29"/>
  <c r="BT30"/>
  <c r="BT32"/>
  <c r="BT33"/>
  <c r="BT35"/>
  <c r="BT36"/>
  <c r="BT38"/>
  <c r="BT39"/>
  <c r="BT40"/>
  <c r="BT42"/>
  <c r="BT43"/>
  <c r="BT48"/>
  <c r="BT49"/>
  <c r="BT50"/>
  <c r="BT51"/>
  <c r="BT53"/>
  <c r="BT54"/>
  <c r="BT56"/>
  <c r="BT58"/>
  <c r="BT59"/>
  <c r="BT60"/>
  <c r="BT61"/>
  <c r="BT62"/>
  <c r="BT64"/>
  <c r="BT67"/>
  <c r="BT69"/>
  <c r="BT70"/>
  <c r="BT71"/>
  <c r="BT72"/>
  <c r="BT74"/>
  <c r="BT76"/>
  <c r="BT77"/>
  <c r="BT78"/>
  <c r="BT79"/>
  <c r="BT83"/>
  <c r="BT84"/>
  <c r="BT87"/>
  <c r="BT88"/>
  <c r="BT90"/>
  <c r="BI18"/>
  <c r="BI19"/>
  <c r="BI20"/>
  <c r="BI22"/>
  <c r="BI23"/>
  <c r="BI28"/>
  <c r="BI31"/>
  <c r="BI32"/>
  <c r="BI35"/>
  <c r="BI36"/>
  <c r="BI38"/>
  <c r="BI39"/>
  <c r="BI42"/>
  <c r="BI43"/>
  <c r="BI48"/>
  <c r="BI50"/>
  <c r="BI53"/>
  <c r="BI56"/>
  <c r="BI58"/>
  <c r="BI60"/>
  <c r="BI61"/>
  <c r="BI62"/>
  <c r="BI69"/>
  <c r="BI76"/>
  <c r="BI77"/>
  <c r="BI79"/>
  <c r="BI84"/>
  <c r="BI10"/>
  <c r="BI11"/>
  <c r="BI17"/>
  <c r="AX9"/>
  <c r="AX10"/>
  <c r="AX11"/>
  <c r="AX17"/>
  <c r="AX18"/>
  <c r="AX19"/>
  <c r="AX20"/>
  <c r="AX22"/>
  <c r="AX23"/>
  <c r="AX24"/>
  <c r="AX28"/>
  <c r="AX29"/>
  <c r="AX30"/>
  <c r="AX31"/>
  <c r="AX32"/>
  <c r="AX33"/>
  <c r="AX35"/>
  <c r="AX36"/>
  <c r="AX38"/>
  <c r="AX39"/>
  <c r="AX40"/>
  <c r="AX42"/>
  <c r="AX43"/>
  <c r="AX48"/>
  <c r="AX49"/>
  <c r="AX50"/>
  <c r="AX51"/>
  <c r="AX53"/>
  <c r="AX54"/>
  <c r="AX56"/>
  <c r="AX58"/>
  <c r="AX59"/>
  <c r="AX60"/>
  <c r="AX61"/>
  <c r="AX62"/>
  <c r="AX64"/>
  <c r="AX67"/>
  <c r="AX69"/>
  <c r="AX70"/>
  <c r="AX71"/>
  <c r="AX72"/>
  <c r="AX74"/>
  <c r="AX76"/>
  <c r="AX77"/>
  <c r="AX78"/>
  <c r="AX79"/>
  <c r="AX83"/>
  <c r="AX84"/>
  <c r="AX87"/>
  <c r="AX88"/>
  <c r="AX90"/>
  <c r="AM9"/>
  <c r="AM10"/>
  <c r="AM11"/>
  <c r="AM17"/>
  <c r="AM18"/>
  <c r="AM19"/>
  <c r="AM20"/>
  <c r="AM22"/>
  <c r="AM23"/>
  <c r="AM24"/>
  <c r="AM28"/>
  <c r="AM29"/>
  <c r="AM30"/>
  <c r="AM31"/>
  <c r="AM32"/>
  <c r="AM33"/>
  <c r="AM35"/>
  <c r="AM36"/>
  <c r="AM38"/>
  <c r="AM39"/>
  <c r="AM40"/>
  <c r="AM42"/>
  <c r="AM43"/>
  <c r="AM48"/>
  <c r="AM49"/>
  <c r="AM50"/>
  <c r="AM51"/>
  <c r="AM53"/>
  <c r="AM54"/>
  <c r="AM56"/>
  <c r="AM58"/>
  <c r="AM59"/>
  <c r="AM60"/>
  <c r="AM61"/>
  <c r="AM62"/>
  <c r="AM64"/>
  <c r="AM67"/>
  <c r="AM69"/>
  <c r="AM70"/>
  <c r="AM71"/>
  <c r="AM72"/>
  <c r="AM74"/>
  <c r="AM76"/>
  <c r="AM77"/>
  <c r="AM78"/>
  <c r="AM79"/>
  <c r="AM83"/>
  <c r="AM84"/>
  <c r="AM87"/>
  <c r="AM88"/>
  <c r="AM90"/>
  <c r="Q9"/>
  <c r="Q10"/>
  <c r="Q11"/>
  <c r="Q17"/>
  <c r="Q18"/>
  <c r="Q19"/>
  <c r="Q20"/>
  <c r="Q22"/>
  <c r="Q23"/>
  <c r="Q24"/>
  <c r="Q28"/>
  <c r="Q29"/>
  <c r="Q30"/>
  <c r="Q31"/>
  <c r="Q32"/>
  <c r="Q33"/>
  <c r="Q35"/>
  <c r="Q36"/>
  <c r="Q38"/>
  <c r="Q39"/>
  <c r="Q40"/>
  <c r="Q42"/>
  <c r="Q43"/>
  <c r="Q48"/>
  <c r="Q49"/>
  <c r="Q50"/>
  <c r="Q51"/>
  <c r="Q53"/>
  <c r="Q54"/>
  <c r="Q56"/>
  <c r="Q58"/>
  <c r="Q59"/>
  <c r="Q60"/>
  <c r="Q61"/>
  <c r="Q62"/>
  <c r="Q64"/>
  <c r="Q67"/>
  <c r="Q69"/>
  <c r="Q70"/>
  <c r="Q71"/>
  <c r="Q72"/>
  <c r="Q74"/>
  <c r="Q76"/>
  <c r="Q77"/>
  <c r="Q78"/>
  <c r="Q79"/>
  <c r="Q83"/>
  <c r="Q84"/>
  <c r="Q87"/>
  <c r="Q88"/>
  <c r="Q90"/>
  <c r="D22"/>
  <c r="D33"/>
  <c r="D43"/>
  <c r="D56"/>
  <c r="D58"/>
  <c r="D69"/>
  <c r="D83"/>
  <c r="D11"/>
  <c r="BT8"/>
  <c r="BI8"/>
  <c r="AM8"/>
  <c r="Q93" l="1"/>
  <c r="D93"/>
  <c r="F8"/>
  <c r="F83"/>
  <c r="F24"/>
  <c r="AB93"/>
  <c r="AX93"/>
  <c r="BT93"/>
  <c r="AM93"/>
  <c r="F20"/>
  <c r="F11"/>
  <c r="F22"/>
  <c r="F9"/>
  <c r="F79"/>
  <c r="F87"/>
  <c r="F18"/>
  <c r="F76"/>
  <c r="F74"/>
  <c r="F72"/>
  <c r="F69"/>
  <c r="F67"/>
  <c r="F61"/>
  <c r="F59"/>
  <c r="F53"/>
  <c r="F51"/>
  <c r="F49"/>
  <c r="F43"/>
  <c r="F39"/>
  <c r="F35"/>
  <c r="F33"/>
  <c r="F31"/>
  <c r="F88"/>
  <c r="F78"/>
  <c r="F71"/>
  <c r="F64"/>
  <c r="F62"/>
  <c r="F60"/>
  <c r="F58"/>
  <c r="F56"/>
  <c r="F54"/>
  <c r="F50"/>
  <c r="F48"/>
  <c r="F42"/>
  <c r="F40"/>
  <c r="F36"/>
  <c r="F32"/>
  <c r="F29"/>
  <c r="F23"/>
  <c r="F19"/>
  <c r="F17"/>
  <c r="F10"/>
  <c r="F84"/>
  <c r="E93"/>
  <c r="F30"/>
  <c r="F70"/>
  <c r="F28"/>
  <c r="F77"/>
  <c r="F93" l="1"/>
</calcChain>
</file>

<file path=xl/sharedStrings.xml><?xml version="1.0" encoding="utf-8"?>
<sst xmlns="http://schemas.openxmlformats.org/spreadsheetml/2006/main" count="295" uniqueCount="247">
  <si>
    <t xml:space="preserve">Наименование субъекта </t>
  </si>
  <si>
    <t>Доля приоритетных объектов, доступных для инвалидов и других маломобильных групп населения в сфере социальной защиты, в общем количестве приоритетных объектов в сфере социальной защиты</t>
  </si>
  <si>
    <t>Доля приоритетных объектов органов службы занятости, доступных для инвалидов и других маломобильных групп населения, в общем количестве объектов органов службы занятости</t>
  </si>
  <si>
    <t>Доля приоритетных объектов, доступных для инвалидов и других маломобильных групп населения в сфере здравоохранения, в общем количестве приоритетных объектов в сфере здравоохранения</t>
  </si>
  <si>
    <t>Доля приоритетных объектов, доступных для инвалидов и других маломобильных групп населения в сфере культуры, в общем количестве приоритетных объектов в сфере культуры</t>
  </si>
  <si>
    <t>Доля приоритетных объектов транспортной инфраструктуры, доступных для инвалидов и других маломобильных групп населения, в общем количестве приоритетных объектов транспортной инфраструктуры (ОСТАНОВКИ, ПЕРЕХОДЫ, СФЕТОФОРЫ НЕ ЯВЛЯЮТСЯ ОБЪЕКТАМИ)</t>
  </si>
  <si>
    <t>Доля приоритетных объектов, доступных для инвалидов и других маломобильных групп населения в сфере физической культуры и спорта, в общем количестве приоритетных объектов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</si>
  <si>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</si>
  <si>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</si>
  <si>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</si>
  <si>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</si>
  <si>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</si>
  <si>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</si>
  <si>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</si>
  <si>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</si>
  <si>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</si>
  <si>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</si>
  <si>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</si>
  <si>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</si>
  <si>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</si>
  <si>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</si>
  <si>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</si>
  <si>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(Алания)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</si>
  <si>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</si>
  <si>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</si>
  <si>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</si>
  <si>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</si>
  <si>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</si>
  <si>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</si>
  <si>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</si>
  <si>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</si>
  <si>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</si>
  <si>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</si>
  <si>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</si>
  <si>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</si>
  <si>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</si>
  <si>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</si>
  <si>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</si>
  <si>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</si>
  <si>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</si>
  <si>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</si>
  <si>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</si>
  <si>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</si>
  <si>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</si>
  <si>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</si>
  <si>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</si>
  <si>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</si>
  <si>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</si>
  <si>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</si>
  <si>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</si>
  <si>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</si>
  <si>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</si>
  <si>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</si>
  <si>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</si>
  <si>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</si>
  <si>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</si>
  <si>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</si>
  <si>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</si>
  <si>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</si>
  <si>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</si>
  <si>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</si>
  <si>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</si>
  <si>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</si>
  <si>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</si>
  <si>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</si>
  <si>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</si>
  <si>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</si>
  <si>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</si>
  <si>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</si>
  <si>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</si>
  <si>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</si>
  <si>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</si>
  <si>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</si>
  <si>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</si>
  <si>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</si>
  <si>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</si>
  <si>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</si>
  <si>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</si>
  <si>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</si>
  <si>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</si>
  <si>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</si>
  <si>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</si>
  <si>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</si>
  <si>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</si>
  <si>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Москва</t>
  </si>
  <si>
    <t>Санкт-Петербург</t>
  </si>
  <si>
    <t>город Севастополь</t>
  </si>
  <si>
    <t>Еврейская автономная область</t>
  </si>
  <si>
    <t>Ненецкий автономный округ</t>
  </si>
  <si>
    <t>Ханты-Мансийский автономный округ-Югра</t>
  </si>
  <si>
    <t>Чукотский автономный округ</t>
  </si>
  <si>
    <t>Ямало-Ненецкий автономный округ</t>
  </si>
  <si>
    <t xml:space="preserve">Сводная информация по приоритетным объетам в субъектах Российской Федерации на 2019 год </t>
  </si>
  <si>
    <t>Факт 2017 год (ед.)</t>
  </si>
  <si>
    <t>Факт 2017 год (%)</t>
  </si>
  <si>
    <t>План 2018 год (ед.)</t>
  </si>
  <si>
    <t>План 2018 год (%)</t>
  </si>
  <si>
    <t>План 2019 год (ед.)</t>
  </si>
  <si>
    <t>План 2019 год (%)</t>
  </si>
  <si>
    <t>ВСЕГО:</t>
  </si>
  <si>
    <t>6
6=(5/4*100)</t>
  </si>
  <si>
    <t>Комментарии (например общее кол-во приоритетных объектов увеличено до … в связи с чем процент доступных в 2018 ….)</t>
  </si>
  <si>
    <t>Иные сферы (входящие в общее кол-во приоритетных объектов) К ПРИМЕРУ ИНФОРМАЦИЯ И СВЯЗЬ, возможно ПРОФ.ОБРАЗОВАНИЕ-только те которые дооборудовались до 2016 года.</t>
  </si>
  <si>
    <t>№ п/п</t>
  </si>
  <si>
    <t xml:space="preserve"> 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</t>
  </si>
  <si>
    <t>4
4=(3+18+23+28+33+37)</t>
  </si>
  <si>
    <t>5
5=(3+14+19+24+29+34+39)</t>
  </si>
  <si>
    <t>9
9=(3+16+21+26+31+35+41)</t>
  </si>
  <si>
    <t>11
11=(3+17+22+27+32+37+42)</t>
  </si>
  <si>
    <t>10
10=(9/7*100)</t>
  </si>
  <si>
    <t>12
12=(11/8*100)</t>
  </si>
  <si>
    <r>
      <t xml:space="preserve">Общее кол-во приоритетных объектов 
в сфере  соц. защиты
</t>
    </r>
    <r>
      <rPr>
        <sz val="10"/>
        <color rgb="FFFF0000"/>
        <rFont val="Times New Roman"/>
        <family val="1"/>
        <charset val="204"/>
      </rPr>
      <t xml:space="preserve"> 2017 года</t>
    </r>
  </si>
  <si>
    <r>
      <t xml:space="preserve">Общее кол-во приоритетных объектов 
(по всем сферам) </t>
    </r>
    <r>
      <rPr>
        <sz val="10"/>
        <color rgb="FFFF0000"/>
        <rFont val="Times New Roman"/>
        <family val="1"/>
        <charset val="204"/>
      </rPr>
      <t xml:space="preserve"> 2017 год</t>
    </r>
  </si>
  <si>
    <r>
      <t xml:space="preserve">Общее кол-во приоритетных объектов 
(по всем сферам) 
</t>
    </r>
    <r>
      <rPr>
        <sz val="10"/>
        <color rgb="FFFF0000"/>
        <rFont val="Times New Roman"/>
        <family val="1"/>
        <charset val="204"/>
      </rPr>
      <t>2018 год</t>
    </r>
  </si>
  <si>
    <r>
      <t xml:space="preserve">Общее кол-во приоритетных объектов 
(по всем сферам) 
</t>
    </r>
    <r>
      <rPr>
        <sz val="10"/>
        <color rgb="FFFF0000"/>
        <rFont val="Times New Roman"/>
        <family val="1"/>
        <charset val="204"/>
      </rPr>
      <t>2019 год</t>
    </r>
  </si>
  <si>
    <r>
      <t xml:space="preserve">Общее кол-во приоритетных объектов 
в сфере  соц. защиты
</t>
    </r>
    <r>
      <rPr>
        <sz val="10"/>
        <color rgb="FFFF0000"/>
        <rFont val="Times New Roman"/>
        <family val="1"/>
        <charset val="204"/>
      </rPr>
      <t>2018 год</t>
    </r>
  </si>
  <si>
    <r>
      <t xml:space="preserve">Общее кол-во приоритетных объектов 
в сфере  соц. защиты
</t>
    </r>
    <r>
      <rPr>
        <sz val="10"/>
        <color rgb="FFFF0000"/>
        <rFont val="Times New Roman"/>
        <family val="1"/>
        <charset val="204"/>
      </rPr>
      <t>2019 год</t>
    </r>
  </si>
  <si>
    <r>
      <t xml:space="preserve">Общее кол-во приоритетных объектов 
в сфере  занятости </t>
    </r>
    <r>
      <rPr>
        <sz val="10"/>
        <color rgb="FFFF0000"/>
        <rFont val="Times New Roman"/>
        <family val="1"/>
        <charset val="204"/>
      </rPr>
      <t>2017 год</t>
    </r>
  </si>
  <si>
    <r>
      <t xml:space="preserve">Общее кол-во приоритетных объектов 
в сфере  занятости </t>
    </r>
    <r>
      <rPr>
        <sz val="10"/>
        <color rgb="FFFF0000"/>
        <rFont val="Times New Roman"/>
        <family val="1"/>
        <charset val="204"/>
      </rPr>
      <t>2018 год</t>
    </r>
  </si>
  <si>
    <r>
      <t xml:space="preserve">Общее кол-во приоритетных объектов 
в сфере  занятости </t>
    </r>
    <r>
      <rPr>
        <sz val="10"/>
        <color rgb="FFFF0000"/>
        <rFont val="Times New Roman"/>
        <family val="1"/>
        <charset val="204"/>
      </rPr>
      <t>2019 год</t>
    </r>
  </si>
  <si>
    <r>
      <t xml:space="preserve">Общее кол-во приоритетных объектов 
в сфере здравоохнарениня </t>
    </r>
    <r>
      <rPr>
        <sz val="10"/>
        <color rgb="FFFF0000"/>
        <rFont val="Times New Roman"/>
        <family val="1"/>
        <charset val="204"/>
      </rPr>
      <t>2017 год</t>
    </r>
  </si>
  <si>
    <r>
      <t xml:space="preserve">Общее кол-во приоритетных объектов 
в сфере здравоохнарениня </t>
    </r>
    <r>
      <rPr>
        <sz val="10"/>
        <color rgb="FFFF0000"/>
        <rFont val="Times New Roman"/>
        <family val="1"/>
        <charset val="204"/>
      </rPr>
      <t>2018 год</t>
    </r>
  </si>
  <si>
    <r>
      <t xml:space="preserve">Общее кол-во приоритетных объектов 
в сфере здравоохнарениня </t>
    </r>
    <r>
      <rPr>
        <sz val="10"/>
        <color rgb="FFFF0000"/>
        <rFont val="Times New Roman"/>
        <family val="1"/>
        <charset val="204"/>
      </rPr>
      <t>2019 год</t>
    </r>
  </si>
  <si>
    <r>
      <t xml:space="preserve">Общее кол-во приоритетных объектов 
в сфере культуры
</t>
    </r>
    <r>
      <rPr>
        <sz val="10"/>
        <color rgb="FFFF0000"/>
        <rFont val="Times New Roman"/>
        <family val="1"/>
        <charset val="204"/>
      </rPr>
      <t>2017 год</t>
    </r>
  </si>
  <si>
    <r>
      <t xml:space="preserve">Общее кол-во приоритетных объектов 
в сфере культуры
</t>
    </r>
    <r>
      <rPr>
        <sz val="10"/>
        <color rgb="FFFF0000"/>
        <rFont val="Times New Roman"/>
        <family val="1"/>
        <charset val="204"/>
      </rPr>
      <t>2018 год</t>
    </r>
  </si>
  <si>
    <r>
      <t xml:space="preserve">Общее кол-во приоритетных объектов 
в сфере культуры
</t>
    </r>
    <r>
      <rPr>
        <sz val="10"/>
        <color rgb="FFFF0000"/>
        <rFont val="Times New Roman"/>
        <family val="1"/>
        <charset val="204"/>
      </rPr>
      <t>2019 год</t>
    </r>
  </si>
  <si>
    <r>
      <t xml:space="preserve">Общее кол-во приоритетных объектов 
в сфере транспортной инфраструктуры
</t>
    </r>
    <r>
      <rPr>
        <sz val="10"/>
        <color rgb="FFFF0000"/>
        <rFont val="Times New Roman"/>
        <family val="1"/>
        <charset val="204"/>
      </rPr>
      <t xml:space="preserve">2017 год </t>
    </r>
  </si>
  <si>
    <r>
      <t xml:space="preserve">Общее кол-во приоритетных объектов 
в сфере транспортной инфраструктуры
</t>
    </r>
    <r>
      <rPr>
        <sz val="10"/>
        <color rgb="FFFF0000"/>
        <rFont val="Times New Roman"/>
        <family val="1"/>
        <charset val="204"/>
      </rPr>
      <t xml:space="preserve">2018 год </t>
    </r>
  </si>
  <si>
    <r>
      <t xml:space="preserve">Общее кол-во приоритетных объектов 
в сфере транспортной инфраструктуры
</t>
    </r>
    <r>
      <rPr>
        <sz val="10"/>
        <color rgb="FFFF0000"/>
        <rFont val="Times New Roman"/>
        <family val="1"/>
        <charset val="204"/>
      </rPr>
      <t xml:space="preserve">2019 год </t>
    </r>
  </si>
  <si>
    <r>
      <t xml:space="preserve">Общее кол-во приоритетных объектов 
в сфере спорта 
 </t>
    </r>
    <r>
      <rPr>
        <sz val="10"/>
        <color rgb="FFFF0000"/>
        <rFont val="Times New Roman"/>
        <family val="1"/>
        <charset val="204"/>
      </rPr>
      <t>2017 год</t>
    </r>
  </si>
  <si>
    <r>
      <t xml:space="preserve">Общее кол-во приоритетных объектов 
в сфере спорта 
 </t>
    </r>
    <r>
      <rPr>
        <sz val="10"/>
        <color rgb="FFFF0000"/>
        <rFont val="Times New Roman"/>
        <family val="1"/>
        <charset val="204"/>
      </rPr>
      <t>2018 год</t>
    </r>
  </si>
  <si>
    <r>
      <t xml:space="preserve">Общее кол-во приоритетных объектов 
в сфере спорта 
 </t>
    </r>
    <r>
      <rPr>
        <sz val="10"/>
        <color rgb="FFFF0000"/>
        <rFont val="Times New Roman"/>
        <family val="1"/>
        <charset val="204"/>
      </rPr>
      <t>2019 год</t>
    </r>
  </si>
  <si>
    <t>В 2019 году количество приоритетных объектов по сферам было перераспределено, в связи с изменением финансирования, передача здания с одной сферы в другую. Таким образом в сфере соц.защиты приоритетных 183 объекта; в сфере занятости - 52; в сфере здравоохранения - 354; в сфере культуры - 200; в сфере сорта - 159; профобразование - 42, метро - 10</t>
  </si>
  <si>
    <t>включены 42 объекта проф. Образования, из них доступны 42 объекта</t>
  </si>
  <si>
    <t>6 объекттов профобразования(6 доступны)</t>
  </si>
  <si>
    <t xml:space="preserve">В 2018 году перераспределение количества объектов по сферам: в сфере соц. защиты стало 18; в сфере здравоохранения - 66; в сфере культуры -  64; транспортной инфраструктуры - 6; физической культуры - 12.    </t>
  </si>
  <si>
    <t>(18 объектов профессионального.образования  входят в общее кол-во)</t>
  </si>
  <si>
    <t xml:space="preserve">в том числе информации и связи 145 (33 доступно) </t>
  </si>
  <si>
    <t>должны заключить допник процент в соглш. на 2018 год стоит не верный(либо в факте уже верный поставят)
Ранее в общее кол-во (в 556) включены 7 объектов проф. образования (4 учреждения среднего профессионального образования), из них дооборудованы до 2016 года все 7 объектов</t>
  </si>
  <si>
    <t>В расчет показателя в 2017, 2018 и 2019 годах включены 40 объектов профобразования,  
(из них 10 адаптированнных до 2016 года)</t>
  </si>
  <si>
    <t>В связи с включением в список приоритетных объектов  филиалов МФЦ и ЦЗН общее количество приоритетных объектов увеличено:
* -  в 2018 году -  до 219 объектов; доля доступных объектов в 2018 году составит 58,0% (127/219*100);
** - в 2019 - до 230 объектов; доля доступных объектов в 2019 году составит 60,0% (138/230*100).</t>
  </si>
  <si>
    <t>в том числе 2 объекта проф.образования (дооборудованы в 2015-2016 гг)
ПРОЦЕНТ в соглошении на 2018 год стоит не правильный</t>
  </si>
  <si>
    <t xml:space="preserve">В 2018 году увеличено количество приоритетных объектов в сфере культуры с 107 до 162 объектов (увеличение на 51,4% (55 объектов), в связи с чем, процент доступных объектов в сфере культуры уменьшился с 12,1% до 8,02%.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2018 году в реестр приоритетных объектов включены 2 объекта транспортной инфраструктуры(автобусные станции). Работы по дооборудованию автобусных станций планируется провести в 2020 году. В 2018 году количество объектов в сфере социальной защиты уменьшилось в связи с реорганизацией (укрупнение учреждений социального обслуживания).            </t>
  </si>
  <si>
    <t>До 2018 г. в Программу  включены  52 наиболее значимых для инвалидов объектов в приоритетных сферах их жизнедеятельности, с 2018 г., в связи с предоставлением субсидии из федерального бюджета, перечень расширен до 134 ед. и с 2019 г. перечень расширен до 161 объекта в связи с продлением периода действия Программы до 2024 г.
соц защита - 36-23, зантость - 14-9, здрав. - 79-41, культура-11-5, спорт - 11-6, транспорт - 3-2</t>
  </si>
  <si>
    <t>Общее количество приоритетных объектов с 2018 года увеличено до 656 (социальная защита - 133 объекта, занятость - 21, здравоохранения - 194, культура - 241, физическая культура и спорт - 54, объекты сферы услуг и потребительского рынка -13). В связи с вышеизложенным, процент доступных объектов в 2018 году составит 36,9%</t>
  </si>
  <si>
    <t xml:space="preserve">В том числе 112 объектов образования (доступно в 2017 году — 81, в 2018 году — 81, в 2019 году - 82) и объектов иных сфер 333 (оои, потребительский рынок, аптеки, банки и пр.) из них доступны в 2017 году — 137, в 2018 — 120, в 2019 — 115)* </t>
  </si>
  <si>
    <t>*Перечень актуализируется ежегодно,объекты иных сфер (потребительский рынок, аптеки, банки и пр.) регулярно изменяются, в связи с реорганизацией/ликвидацией юр.лиц.</t>
  </si>
  <si>
    <t xml:space="preserve">Общее число приоритетных объектов республики по всем сферам 184. В 2014, 2015 годах расчет индикаторов осуществлялся исходя из данного числа ОСИ. С 2016 года в соответствии с рекомендацией Минтруда РФ    расчет  индикаторов     осуществлялся из числа ОСИ (132 объекта)  без  учета объектов сферы образования  (52 объекта). При этом,    в число указанных  132 объектов входили также  11 объектов  потребительского рынка, административные здания.   Для обеспечения корректного  расчета  результатов реализации    программы   в Реестр приоритетных  объктов  вносятся  изменения:  11 объектов потребительского рынка, административных зданий  заменены на 5 объектов здравоохранения,5 объектов культуры и 1 объект транспортной инфраструктуры.   То есть расчет показателей (индикаторов) реализации программы будет по - прежнему осуществляться исходя из количества - 132 объекта.       </t>
  </si>
  <si>
    <t>1 объект информация и связь (на 2019 - 7 объектов (доступно 1)</t>
  </si>
  <si>
    <t>3 объекта сферы информации (3 доступно)</t>
  </si>
  <si>
    <t>С 2019 года общее количество приоритетных объектов также составит 124.                                                                                                       Количество приоритетных объектов здравоохранения уменьшено до 36 (в связи с реорганизацией, ликвидацией). Уменьшилось количество объектов транспортной инфрастуктуры (на один объект в связи с его ликвидациецй) и в 2019 году их количество составит 11. Также увеличено количество объектов спорта и информации и связи, в 2019 году их количество составит 15 и 12 соответственно, все объекты информации и связи дооборудованы. Таким образом, в реестр приоритетных объектов КЧР включены: 36 объектов здравоохранения, 18 объектов социальной защиты, 20 объектов культуры, 15 объектов спорта, 12 объектов занятости, 11 объектов транспортной инфрастуктуры и 12 объектов информации и связи. Также обращаем внимание, что в составе одного из объектов соцзащиты два отдельных здания, раположенных на одной территории и по одному адресу, которые дооборудовались в разные годы. При этом общее количество объектов соцзащиты составляет 18.</t>
  </si>
  <si>
    <t>8 объектов информации и связи  дооборудованы за счет средств республиканского бюджета (с 2019 станет 12 всего)</t>
  </si>
  <si>
    <t>Реестр приоритетных объектов в 2019 году увеличен на 2 объекта по результатам мониторинга доступности объектов социальной инфраструктуры</t>
  </si>
  <si>
    <t>В том числе 2 объекта проф образования (2 доступны)</t>
  </si>
  <si>
    <t>3 объекта професионального образования</t>
  </si>
  <si>
    <t xml:space="preserve">24 ед в том числе 13 административных зданий; и 11 в сфере информации и связи </t>
  </si>
  <si>
    <t>90 объектов образования (из них 35 доступны)</t>
  </si>
  <si>
    <t>9 объектов проф образования</t>
  </si>
  <si>
    <t>В том числе 62 объекта проф образования (доступно 62),20 объектов информации и сязи (20 доступно)</t>
  </si>
  <si>
    <t>В сфере социальной защиты и социального обслуживания Республики Карелия уменьшилось на 3 дооборудованных объекта общее кол-во приор объектов с 107 до 104 в связи с переездом по новому адресу, в сфере транспортной инфраструктуры увеличилось на 3 объекта с 2019</t>
  </si>
  <si>
    <t>10 объектов проф образования</t>
  </si>
  <si>
    <t>Иные объекты: 51 объект образования (из них 25 дооборудованы до 2015 года); 19 объектов связи (из них 19 дооборудованы за период 2013 - 2017 гг.); 4 объекта общественно организации инвалидов (до настоящего времени не дооборудовались)</t>
  </si>
  <si>
    <t>Общее количество приоритетных объектов соц инфраструктуры сократилось в связи с тем, что 2 объекта в транспортной сфере перешли в частную собственность
235 объектов всего, 11 объектов проф образования
на 2018 год 233 (ушли 2 объекта транспорта в связи с реорганизацией к концу 18 будет доступно 181(77,6% в согл.77,02)</t>
  </si>
  <si>
    <t>Общее количество приоритетных объектов, включенных в реестр, - 326, из них 67 объектов образования (в т.ч. 37 объектов, дооборудованных до 2016 года). В связи  с тем, что на объекты образования не предоставляется субсидия Минтрудом России, по согласованию с общественными организациями инвалидов принято решение об увеличении в 2019 году количества приоритетных объектов в сферах соц. защиты и занятости за счет уменьшения количества недооборудованных объектов образования. 67-5=62 объекта в 2019 году</t>
  </si>
  <si>
    <t>7 из 7 объектов информации и связи доступны,  и 36 проф образования</t>
  </si>
  <si>
    <t>В перечне приоритетных объектов по сфере транспортной инфраструктуры значится 1 объект - аэропорт. В общую формулу расчета на 2018 год он не включен, так как работы по его адаптации проводились и в предыдущие годы. В 2018 году осуществлялось его дооборудование - приобретен амбулаторный лифт для доставки и посадки инвалидов в воздушные суда. В 2019 году также планируется его дооборудование за счет внебюджетных средств учреждения.                                                            
На 2019 год в проекте областного бюджета средства на адаптацию объектов не предусмотрены. Планируется провести работы по адаптации 4 объектов в сфере культуры  за счет муниципальных средств.</t>
  </si>
  <si>
    <t>В том числе 109 объектов образования (59 доступны)</t>
  </si>
  <si>
    <t>В 2017 году всего прочих объектов - 111, в т.ч.68 объектов образования дооборудовано до 2016 года (доступно 58), 11 объектов молодежной политики (11 доступно), 31 объект административных зданий (19 доступно), 1 объект сферы услуг. (В графе 4 за 2017 год сминусованы 5 объектов, добавленные в реестр в 2018 году и 5 объектов, перераспределенные в 2019 году).                                         
 В 2018 году всего прочих - 130 объектов, в т.ч. 68 объектов образования дооборудовано до 2016 года, 11 объектов молодежной политики, 31 объект административных зданий, 1 объект сферы услуг,  19 объектов связи.                                                                В 2019 году всего прочих - 125 объектов, в т.ч. 68 объектов образования дооборудовано до 2016 года, 11 объектов молодежной политики, 26 объектов(ранее до 2019 года были 31 объект, заменили на объекты, которые будут адаптироваться в 2019 году: 1 объект культуры, 1 объект здравоохранения. 3 объекта соцзащита), 1 объект сферы услуг,  19 объектов связи.</t>
  </si>
  <si>
    <t>По состоянию на 31.12.2017 в реестре числится 335 приоритетных объектов. По состоянию на 31.12.2017 адаптировано 305 объектов. По состоянию на 31.12.2017 г. доля доступных объектов 91%. В реестр приоритетных объектов в 2018 году включены 24 объекта, в т.ч.: 1 объект культуры, 4 объекта здравоохранения, 19 объектов информатизации и связи. Таким образом, по состоянию на 01.01.2018 в реестре приоритетных объектов стало числиться 359 объектов. В  2019 году перераспределены объекы  в реестре:  5 объектов административных здвний заменили на  3 объекта соцзащиты, 1 объект в здравоохранения , 1 объект культуры. Общее количество приоритетных объектов на 2019 год составило 359.</t>
  </si>
  <si>
    <t>В 2018 году увеличено общее  количество приоритетных объектов (в сфере культуры) на 16 единиц  (доп. соглашение № 149-08-2018-122/2)</t>
  </si>
  <si>
    <t>16 объектов проф. образования дооборудовались до 2016 года</t>
  </si>
  <si>
    <t>в том числе информация и связь 12 (доступно 12)</t>
  </si>
  <si>
    <t>8 объектов проф.образования  дооборудованы до 2016 года</t>
  </si>
  <si>
    <t>в сфере спорта добавился один объект (ГБУОА "Спортивная школа олимпийского резерва" на базе СОШ №1), в сфере занятости населения колличество доступных объектов сократилось с 10 до 9 (ОГКУ "Центр занятости населения Лиманского района" с октября 2018 года находится по другому адресу на 2ом этаже здания), + 8 объектов проф. образования дооборудованные до 2016 года.</t>
  </si>
  <si>
    <t>В том числе 33 объекта образования</t>
  </si>
  <si>
    <t>10 объектов профессионального образования  оборудовано до 2016 года, 1 объект информатизации и связи оборудован в 2017 году</t>
  </si>
  <si>
    <t>на 2018 год в сфере занятости ушло 6 объектов, а в сфере соц. защиты +6</t>
  </si>
  <si>
    <t>При пересчете общего количества приоритетных объектов, наблюдается их существенное увеличение, так как, например, приоритетный объект – 1, а зданий либо филиалов несколько.
По итогам пересчета приоритетных объектов в области – 869 (было 344), дооборудованных по итогам 2018 года, нарастающим итогом будет 638, исходя из этого показатель – 73,4%. В приоритетных сферах социальной защиты населения, здравоохранения, транспорта и спорта отмечается увеличение количества объектов, в то время как в сфере культуры отмечается снижение, ввиду того, что в мониторинге изначально были указаны объекты дополнительного образования (кружки, клубы и т.д.), относящиеся к приоритетной до 2016 года сфере образования.</t>
  </si>
  <si>
    <t>Будут заключать доп. соглашение в части увеличения приоритетных объектов (!!)</t>
  </si>
  <si>
    <t>В связи с достижением в 2017 году значения показателя реализации программы "Доля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 в Республике Мордовия" - 98,2% (адаптировано 56 объектов из 57 приоритетных объектов), с 2018 года увеличено количество приоритетных объектов к 2020 году до 100 объектов, в том числе в 2018 году - 16 объектов, в 2019 году - 14 объектов, в 2020 году - 14 объектов.</t>
  </si>
  <si>
    <t>4 объекта проф. Образования</t>
  </si>
  <si>
    <t>В сфере проф. образ. Адаптировалось 4 объекта (1 в 2014 году, 3 в 2015)</t>
  </si>
  <si>
    <t>2 объекта сферы проф. образования (за 2014,2015 года)</t>
  </si>
  <si>
    <t>11 объектов сферы информ. (из них в 2017 г. доступны 4 объекта, в 2018-2019 г.г. - 8 объектов), 45 объектов образования (из них доступны в 2017 г. 
7 объектов, в 2018-2019 гг-15 объектов)</t>
  </si>
  <si>
    <t>В период 2014-2015 годов дооборудовано 32 объекта обр.из 44 объектов образования, которые учтены в общем количестве пр. и дооборудованных объектов</t>
  </si>
  <si>
    <t>В том числе 1 объект информации и связи (1 доступно) МФЦ 1 (1 доступно) 4 объекта образования</t>
  </si>
  <si>
    <t>В том числе 103 объекта проф образования (доступны 57)</t>
  </si>
  <si>
    <t>39 объектов информации (не доступны)</t>
  </si>
  <si>
    <t>1. Перечень приоритетных объектов дополнен 39 объектами в сфере "информация и связь"; 2. Увеличено количество объектов в сфере культуры на 2 объекта; 3. Увеличено количество объектов в сфере социальной защиты на 4 объекта</t>
  </si>
  <si>
    <t>В 2018 году увеличелось количество приоритетных объектов в сфере культуры до 44 объектов.  В  2019 году увеличелось количество приоритетных объектов в сфере: культуры до 49  объектов, социальной защиты до 80 объектов, спорта до 21 объекта, а занятости уменьшилось количество приоритетных объектов до 43 (закрытие учреждения).</t>
  </si>
  <si>
    <t>58 объектов проф образования (доступны 18 объектов проф.образования  дооборудованы до 2016 года)</t>
  </si>
  <si>
    <t>В 2018 году увеличилось количество приоритетных объектов  в следующих сферах: социальная защита на 7, культура на 6, здравоохранеие на 12, в сфере информатизации и связи на 8</t>
  </si>
  <si>
    <t>2 объекта проф. образования  дооборудованы до 2016 года, 4 объекта информации и связи (из них 2 дооборудованы в 2017 году, 2 запланировано на 2018)</t>
  </si>
  <si>
    <t>Объекты транспортной инфраструктуру не финансируются за счет средств бюджета Кемеровской области, так как:   1) железнодорожгые вокзалы входят в холдинг ОАО "Российские железные дороги";  2) аэропорты находятся в частной собственности; 3) автовокзалы и автостанции входят в структуру ГУ "Кузбасспассажиравтотранс" - финансируются за счет собственных средств</t>
  </si>
  <si>
    <t>Плановое значение показателя кол-ва приоритетных объектов на 2018 год превышает значение, установленное Соглашением от 12.02.2018 № 149-08-2018-079 в связи с уточнением реестра приоритетных объектов. Соответствующие изменения учтены в государственной программе Краснодарского края "Доступная среда".</t>
  </si>
  <si>
    <t xml:space="preserve">Общее количество приоритетных объектов в 2018 году увеличено до 170:                          по сфере здравоохранения на 10 объектов - общее количество 26 объектов;                    по сфере занятости  на 1 объект - общее количество 14 объектов. Общее количество приоритетных объектов в 2019 планируется оставить на том же уровне - 170.    </t>
  </si>
  <si>
    <t>В 2014-2015 гг были адаптированы на условиях софинанирования из федерального бюджета 2 объекта в сфере профобразования. Так как приказом  Минтруда России от 05.04.2016 N 149 сфера образования исключена из числа приоритетных сфер, указанные объекты, доступные для инвалидов,  в расчете показателей не учитываются</t>
  </si>
  <si>
    <t>В связи с достижением  значения показателя "Доля доступных приоритетных объектов в сфере  здравоохранения" в 2017 году  100%   в 2018 году  в реестр добавлены 3 новых объекта в сфере  здравоохранения, в результате чего  в 2018 году  в реестре стало 175 объектов. Так как новые объекты в течение 2018 года дооборудованы для инвалидов, то  в 2019 году  планируется добавить в реестр 6 новых объектов в сфере здравоохранения и  в связи с достижением показателя доступности объектов в сфере занятости в 2018 году также 100 % в реестр будут добавлены 2 новых  объекта в сфере занятости населения. С учетом добавления 8 новых объектов в 2019 году в реестре станет всего 183 объекта.</t>
  </si>
  <si>
    <t>Иные объекты  - ЗАГСы и МФЦ всего 218 (доступно 208)</t>
  </si>
  <si>
    <t>10 объектов дополн. и проф.образования  дооборудованы до 2015 года; 16 объектов связи (из них 6 дооборудованы до 2017 года, 1 в 2018 году, 2 объекта планируется в 2019 году)</t>
  </si>
  <si>
    <t>на 2018 год кол-во приоритетных объектов в сфере соц.защиты составляет 40 объектов, в сфере занятости - 57, культуры 31. По другим сферам не изменилось
В 2019 году сфера соц.защиты увел.на 1 и культура на 2</t>
  </si>
  <si>
    <t>21 объект проф.образования, 11 из них адаптированны в период 2011-2016 годов</t>
  </si>
  <si>
    <t xml:space="preserve">В настоящее время в реестр приоритетных объектов Тверской области входит 200 объектов , с учетом объектов профобразования (21 об.). В количество адаптированных объектов (181 об.) входит количество объектов профобразования (11 об.), адаптированных в период 2011-2016 годов. 
На 2019 год в актуализированный реестр приоритетных объектов Тверской области входит 202 объекта, к адаптации планируется 6 объектов, что составит 89,6%. </t>
  </si>
  <si>
    <t>19 объектов информации и связи</t>
  </si>
  <si>
    <t>5 объектов проф. Образования</t>
  </si>
  <si>
    <t xml:space="preserve">Общее количество приоритетных объектов увеличено в 2018 году до 541 объекта (в сфере социальной защиты - 75 объектов; в сфере здравоохранения - 211 объектов; в сфере занятости - 18 объектов; в сфере культуры - 167 объектов; в сфере спорта - 51 объект, в сфере информации и связи - 19 объектов), в связи с чем процент доступных в 2018 году приоритетных объектов социальной, транспортной, инженерной инфраструктуры в общем количестве приоритетных объектов составит 76,3%. Общее количество приоритетных объектов увеличено в 2019 году до 560 объектов (в сфере социальной защиты - 76 объектов; в сфере здравоохранения - 216 объектов;  в сфере занятости - 18 объектов; в сфере культуры - 167 объектов; в сфере спорта - 64 объекта; в сфере информации и связи - 19 объектов), в связи с чем процент доступных в 2019 году приоритетных объектов социальной, транспортной, инженерной инфраструктуры в общем количестве приоритетных объектов прогнозно составит 75,2%. </t>
  </si>
  <si>
    <t>В том числе 26 объекта образования (из них доступны 26)</t>
  </si>
  <si>
    <t>В общее количество приоритетных объектов не включены 29 объектов, в том числе 16 объектов сбербанка, 
9 объектов образования, 4 объекта транспорта в связи с тем, что доступны и выделения финансирования не требуют, а также не влияют на достижение целевых показателей.</t>
  </si>
  <si>
    <t>в том числе 2 объекта проф образования (2 доступны), данные 2016 год</t>
  </si>
  <si>
    <t>Общее количество приоритетных объектов сократилось в связи с ликвидацией учреждения</t>
  </si>
  <si>
    <t>Общее количество приоритетных объектов увеличилось до 368, в связи с чем уменьшился процент доли доступных объектов в 2019 году (увеличение произошло из-за уточнения количества объектов в социальной сфере)</t>
  </si>
  <si>
    <t xml:space="preserve">Общее количество объектов в 2018 году увеличено на 3 (в 2017 г. -  53, в 2018 г. - 56). Все изменения в Реестре согласованы с общественными организациями инвалидов. Так в Реестре 2018 года по сферам:
1) занятость - увелично на 6 объектов;
2) спорт - увеличено на 3 объекта;
3) культура - увелично на 1 объект;
4) трансопрт - уменьшено на 7 объектов (т.к. в 2017 году не реализовано мероприятие по адаптации 11 объектов транспорта ввиду реорганизации ГП "Псковпассажиравтотранс").
В 2019 году планируется адаптировать для потребностей инвалидов за счет средств областного бюджета 1 объект в сфере социальной защиты (новый) и 1 объект в сфере культуры (дооборудовать, ранее адаптировался за счет средств программы и был учтен в целевом показателе). </t>
  </si>
  <si>
    <t>в том числе 4 объекта проф. образования 9доступно 4) иные объекты 26 (доступно 0) объект потребительского рынка 1 (доступно 0)</t>
  </si>
  <si>
    <t>* в сфере соц. защиты объектов всего - 10, адаптировано в период с 2014 по 2017 год - 7; в 2018 году - 1 объект, в 2019 году - 1 объект,  в 2020 - 1 объект;                                                                                                               ** с фере занаятомти объектов всего - 7, адаптировано в период с 2014 по 2017 год - 4; в 2018 году - 1 объект, в 2019 году - 1 объект, в 2020 году - 1 объект;                                                                                                              *** в сфере здравоохранения объектов всего - 13, адаптировано в период с 2014 по 2017 год - 9;в 2018 году - 1 объект, в 2019 году - 1 объект, в 2020 году -  2 объекта;                                                                              **** в сфере культуры объектов всего - 12 объектов, адаптировано в период с 2014 по 2017 год - 8 объектов; в 2018 году  - 1 объект, в 2019 году - 1 объект, а 2020 году - 2 объекта;                                                              *****в сфере транспорта объектов всего - 5, адаптировано в период с 2014 по 2017 год - 4, в 2018 году - 1 объект                                           ******в сфере физической культуры и спорта объектов всего - 4, адаптировано в период с 2014 по 2017 год - 3, в 2018 году - 1 объект, в 2019 году - 1 объект, в 2020 году неопределено. Таким образом в данной сфере количество приоритетных объектов увеличено на 1.</t>
  </si>
  <si>
    <t>В том числе информация и связь 137 иные сферы 1333, доступно 828</t>
  </si>
  <si>
    <t>Увеличение количества адаптированных объектов в 2018 году в связи с выделением средств консолидированного бюджета на данные цели на 22, в том числе:
10 объектов - в сфере социальной защиты,
8 объектов - в сфере культуры,
4 объектв - в сфере физической культуры и спорта.
Увеличение в 2018 году количества приоритетных объектов на 74, в том числе:
10 объектов - в сфере социальной защиты,
45 объектов - в сфере здравоохранения,
9 объектов - в сфере культуры,
7 объектов - в сфере физической культуры и спорта,
3 объектов - в сфере образования.
Увеличение в 2019 году количества приоритетных объектов на 9, в том числе:
6 объектов - в сфере социальной защиты,
3 объекта - в сфере здравоохранения</t>
  </si>
  <si>
    <t>3 объекта проф. образования дооборудованы в 2016 году
В числе приоритетных также есть 119 объектов проф образования (3 доступны)</t>
  </si>
  <si>
    <t>В 2018 году в ходе оптимизации государственных и муниципальных учреждений общее количество приоритетных объектов уменьшилось на 65 ед., в том числе 4 объекта в сфере физической культуры и спорта (перешли в сферу образования), 61 объект в сфере культуры  (выведен из муниципальной собственности и из приоритетных сфер). Процессы оптимизации деятельности государственных и муниципальных учреждений продолжаются, в связи с чем число приоритетных объектов Волгоградской области на начало 2019 года также будет актуализировано.</t>
  </si>
  <si>
    <t xml:space="preserve">Увеличение общего количества приоритетных объектов в сфере занятости с 0 до 23, увеличение количества объектов в сфере спорта с 2 до 3, количество приоритетных объектов в сфере образования - 170 (29 дооборудованы в 2018 году), количество приоритетных объектов в сфере информации и связи 8 (8 дооборудовано) увеличение общего количества приоритетных объектов в сфере культуры с 21 до 22, увеличение общего количества приоритетных объектов в сфере социальной защиты населения с 31 до 40. </t>
  </si>
  <si>
    <t>178 объектов иных сфер (37 доступно)</t>
  </si>
  <si>
    <t>В перечне приоритетных объектов объектов иных сфер-401, из них 160  оборудованы до 2016 года:  объекты информации и связи -113 , объекты сферы услуг - 15, объекты потребительского рынка - 32.(адаптация данных объектов произведена за счет средств собственников объектов) в 2017 году дооборудовано 49 объектов потреб.рынка</t>
  </si>
  <si>
    <t>Общее кол-во приоритетных объектов увеличено до 280 в связи с чем процент доступных в 2018 году 78,2%. Прибавились приоритетные объекты: 29 в сфере  соц.защиты, 19 в сфере  занятости, 4 в сфере спорта. Убавился 1 приоритетный объект в сфере здравоохранения (объект ликвидирован)</t>
  </si>
  <si>
    <t>в том числе 17 проф. образование (6 доступно)</t>
  </si>
  <si>
    <t>В том числе 39 объектов проф образования (18 доступно)</t>
  </si>
  <si>
    <t>Общее количество приоритетных объектов составляет 1127. Изменение количества объектов связано с ликвидацией 2 объектов здравоохранения, добавлением 1 объекта спорта и изменением подведомственности учреждений в сферах культуры и образования.</t>
  </si>
  <si>
    <t xml:space="preserve">В том числе иные объекты 338 </t>
  </si>
  <si>
    <t xml:space="preserve">  К началу 2017 года  Перечень составил 928 объектов, общее количество адаптированных объектов с момента начала Программы – 503 (54,2 %).
 В 2017 году Министерством здравоохранения Омской области и Министерством труда и социального развития Омской области по итогам проведенных реорганизаций был актуализирован перечень объектов здравоохранения и социальной защиты, из которого были исключены объекты нецелевого назначения, не попадающие под субсидирование в рамках Программы, а также реструктуризированные объекты. Количество объектов социальной сферы в 2017 году - 148, в 2018 году - 134; количесвто объектов здравоохранения в 2017 году - 240, в 2018 году - 137.
В результате в 2018 году Перечень включает 834 объекта</t>
  </si>
  <si>
    <t xml:space="preserve">Общее количество приоритетных объектов в 2018 году увеличилось с 655 до 656 объектов в связи увеличением на 1 объект в  сфере социальной защиты (переезд одной организации социального обслуживания по новому адресу с сохранением структурного подразделения по прежнему адресу). </t>
  </si>
  <si>
    <t xml:space="preserve">
В том числе 203 иных объектов (75 доступно), в т.ч. 154 административные (26 доступно), информация и связь 49 (49 доступно), проф образование 23 (10 доступно)
(27 объектов административных зданий, 49 объектов информации и связи, 10 объектов сферы образования доступны)</t>
  </si>
  <si>
    <t>23 объекта  -отделения многофункциональных центров (из них 2 дооборудованы в 2017 году), 16 объектов связи</t>
  </si>
  <si>
    <t>Общее кол-во приоритетных объектов увеличено до 554 ед. в связи с чем плановый процент доступности объетков на 2019 год установлен в размере 72,6 %.</t>
  </si>
  <si>
    <t>информация и связь 2 (доступно 2)</t>
  </si>
  <si>
    <t>В 2017 году было 17 объектов занятости. В 2018 году в связи переездом некоторых учреждений по другим юридическим адресам объектов занятости стало 18, однако общее количество приоритетных объектов не изменилось в связи в уменьшением объектов МФЦ (объединение).</t>
  </si>
  <si>
    <t>В 2018 году увеличилось общее количество приоритетных объектов в сфере социальной защиты на 2 объекта до 26 объектов</t>
  </si>
  <si>
    <t>48 объектов - это 34 объекта образования, адаптированные до 2016 года и 14 объектов, адаптированные до 2014 года, также +2 объекта архива, затем идут добавленные в 2018 году объекты ( комментарий есть в табличке в 43 колонке) - это 2 объекта соцзащиты, 2 объекта здравоохранения, 24 объекта культуры и 4 объекта спорта.</t>
  </si>
  <si>
    <t xml:space="preserve">Плановое количество приоритетных объектов на 01.01.2018 г.  было увеличено с 203 до 297 объектов, в том числе по сферам: социальная защита - 11, культура - 44, физическая культура и спорт - 14, здравоохранение - 25. </t>
  </si>
  <si>
    <t>11 объектов проф.образования  дооборудованы в 2014, 2015-2016 годах, 5 объекта информатизации и связи (из них 1 дооборудованы в 2016 году, 1 в 2017 году, в 2018 году 3)</t>
  </si>
  <si>
    <t xml:space="preserve">В 2018 г. в Пермском крае 2475 приоритетных объектов. 
По сравнению с 2017 г. количество объектов увеличилось на 501 по следующим причинам:
- в общее количество приоритетных объектов включены общеобразовательные и дошкольные учреждения;
- общее количество объектов здравоохранения  уменьшилось с 466 до 418 в связи с проведением работ по оптимизации имущественного комплекса (реорганизация Учреждений, списание объектов, изъятие из оперитвного управления и др.);
- Количество приоритетных объектов культуры (с 618 до 727), спорта (с 133 до 150) увеличилось в связи с тем, что муниципальные образования Пермского края совместно  с Общественными организациями инвалидов уточнили список приоритетных для инвалидов объектов;
- Общее количество транспортной инфраструктуры уменьшилось с 110 до 16 по причине включения муниципалитетами в число объектов остановочных пунктов. </t>
  </si>
  <si>
    <t>969 (599 доступны)</t>
  </si>
  <si>
    <t>Объекты иных сфер — всего (доступные) : образование — 346 (241), связь и информация — 39 (27), потребительский рынок и сфера услуг — 68 (48), места приложения труда — 6 (6), кредитные и финансовые учреждения — 19 (14), ОГВ и местного самоуправления, внебюджетные фонды, административные объекты — 135 (94), прочие — 4 (3)</t>
  </si>
  <si>
    <t>При этом сообщаем, что количество приоритетных объектов пересмотрено и в настоящее время составляет всего 210 объектов, в том числе: в сфере социальной защиты - 63, органы занятости - 35, в сфере здравоохранения - 77, в сфере культуры - 17, в сфере транспортной инфраструктуры - 2, в сфере физической культуры и спорта - 16</t>
  </si>
  <si>
    <t xml:space="preserve">По графе № 4 (на 2017 год): из 556 приоритетных объектов − 235 объектов в сфере образования и 321 объект в сферах здравоохранения, социальной защиты, занятости, культуры, спорта, транспортной инфраструктуры. За период с 2014 по 2017 годы из 556 приоритетных объектов было дооборудовано 427 объектов, из которых 232 объектов образования и 195 объектов: здравоохранения, социальной защиты, занятости, культуры, спорта, транспортной инфраструктуры. На 2018 год сфера образования исключена из общего кол-ва.
Так общее кол-во приоритетных объектов в сфере  соц.защиты увеличено с 52 до 56 (на 4) объектов.  в сфере  занятости увеличено с 31 до 35 (на 4) объектов.  в сфере спорта уменьшено с 73 до 65 (на 8) объектов. 
</t>
  </si>
  <si>
    <t>1 объкт профобразования адаптирован в 2015 году. Количество приоритетных объектов увеличивалось в 2018 году и на 2019 год в связи с вклюением новых приоритеных объектов:  в 2018 году добавлены 9 объектов (4 - здравоохранение, 1- культура, 3- спорт, 1-автовокзал), исключен 1 объект - пляж "Омега". В 2019 году в список приоритетных объектов включены еще 8 объектов (6-здравоохранение, 1 - культура, 1 -спорт)
итого в 2018 году в списке приоритетных объектов 12 объектов здравоохранения, 5 - социальная защита, 7- культура, 1 - образование, 7 - спорт, 1 - транспортная инфраструктура. (всего 33 объекта)
в 2019 году в списке приоритетных объектов 18 объектов здравоохранения, 5 - социальная защита, 8- культура, 1 - образование, 8 - спорт, 1 - транспортная инфраструктура. (всего 41 объект)</t>
  </si>
  <si>
    <t>Общее количество приоритетных обьектов увеличилось в 2018 году на 16 обьектов, в том числе:  5 обьектов траснпортной сферы; 5 обьектов здравоохранения и 6 объектов культуры</t>
  </si>
  <si>
    <t>В том числе 10 объектов проф образования (2 доступны)</t>
  </si>
  <si>
    <t>Факт 2018 год (ед.)</t>
  </si>
  <si>
    <t>Факт 2018 год (%)</t>
  </si>
</sst>
</file>

<file path=xl/styles.xml><?xml version="1.0" encoding="utf-8"?>
<styleSheet xmlns="http://schemas.openxmlformats.org/spreadsheetml/2006/main">
  <numFmts count="1">
    <numFmt numFmtId="164" formatCode="0.0%"/>
  </numFmts>
  <fonts count="1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Times Roman"/>
      <family val="1"/>
    </font>
    <font>
      <sz val="1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3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</cellStyleXfs>
  <cellXfs count="187">
    <xf numFmtId="0" fontId="0" fillId="0" borderId="0" xfId="0"/>
    <xf numFmtId="0" fontId="6" fillId="2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0" fillId="0" borderId="0" xfId="0"/>
    <xf numFmtId="0" fontId="6" fillId="6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/>
    <xf numFmtId="164" fontId="0" fillId="0" borderId="0" xfId="9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/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4" fontId="0" fillId="0" borderId="1" xfId="9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64" fontId="0" fillId="7" borderId="1" xfId="9" applyNumberFormat="1" applyFont="1" applyFill="1" applyBorder="1" applyAlignment="1">
      <alignment horizontal="center" vertical="center"/>
    </xf>
    <xf numFmtId="10" fontId="0" fillId="7" borderId="1" xfId="0" applyNumberForma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/>
    <xf numFmtId="0" fontId="12" fillId="3" borderId="0" xfId="0" applyFont="1" applyFill="1" applyBorder="1"/>
    <xf numFmtId="0" fontId="0" fillId="3" borderId="0" xfId="0" applyFill="1" applyBorder="1" applyAlignment="1">
      <alignment horizontal="center"/>
    </xf>
    <xf numFmtId="9" fontId="0" fillId="3" borderId="0" xfId="9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164" fontId="4" fillId="7" borderId="1" xfId="9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" fontId="0" fillId="0" borderId="1" xfId="9" applyNumberFormat="1" applyFont="1" applyBorder="1" applyAlignment="1">
      <alignment horizontal="center" vertical="center"/>
    </xf>
    <xf numFmtId="1" fontId="0" fillId="5" borderId="1" xfId="9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64" fontId="0" fillId="9" borderId="1" xfId="9" applyNumberFormat="1" applyFont="1" applyFill="1" applyBorder="1" applyAlignment="1">
      <alignment horizontal="center" vertical="center"/>
    </xf>
    <xf numFmtId="1" fontId="0" fillId="9" borderId="1" xfId="9" applyNumberFormat="1" applyFon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center"/>
    </xf>
    <xf numFmtId="1" fontId="1" fillId="9" borderId="1" xfId="0" applyNumberFormat="1" applyFont="1" applyFill="1" applyBorder="1" applyAlignment="1">
      <alignment horizontal="center" vertical="center" wrapText="1"/>
    </xf>
    <xf numFmtId="1" fontId="0" fillId="3" borderId="0" xfId="0" applyNumberFormat="1" applyFill="1"/>
    <xf numFmtId="1" fontId="0" fillId="3" borderId="0" xfId="0" applyNumberFormat="1" applyFill="1" applyBorder="1"/>
    <xf numFmtId="1" fontId="3" fillId="0" borderId="0" xfId="0" applyNumberFormat="1" applyFont="1" applyAlignment="1">
      <alignment horizontal="center"/>
    </xf>
    <xf numFmtId="1" fontId="0" fillId="0" borderId="0" xfId="0" applyNumberFormat="1"/>
    <xf numFmtId="164" fontId="3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1" fillId="9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0" fillId="3" borderId="0" xfId="0" applyNumberFormat="1" applyFill="1" applyBorder="1"/>
    <xf numFmtId="164" fontId="0" fillId="3" borderId="0" xfId="9" applyNumberFormat="1" applyFont="1" applyFill="1" applyBorder="1" applyAlignment="1">
      <alignment horizontal="center"/>
    </xf>
    <xf numFmtId="1" fontId="4" fillId="9" borderId="1" xfId="9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0" fillId="9" borderId="1" xfId="0" applyNumberFormat="1" applyFill="1" applyBorder="1"/>
    <xf numFmtId="1" fontId="0" fillId="9" borderId="1" xfId="0" applyNumberFormat="1" applyFill="1" applyBorder="1"/>
    <xf numFmtId="164" fontId="0" fillId="3" borderId="1" xfId="0" applyNumberForma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0" borderId="0" xfId="9" applyNumberFormat="1" applyFont="1" applyFill="1" applyBorder="1" applyAlignment="1">
      <alignment horizontal="center" vertical="center"/>
    </xf>
    <xf numFmtId="1" fontId="0" fillId="3" borderId="0" xfId="9" applyNumberFormat="1" applyFont="1" applyFill="1" applyBorder="1" applyAlignment="1">
      <alignment horizontal="center"/>
    </xf>
    <xf numFmtId="1" fontId="0" fillId="3" borderId="1" xfId="9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4" fillId="3" borderId="1" xfId="9" applyNumberFormat="1" applyFont="1" applyFill="1" applyBorder="1" applyAlignment="1">
      <alignment horizontal="center" vertical="center"/>
    </xf>
    <xf numFmtId="1" fontId="0" fillId="0" borderId="1" xfId="0" applyNumberFormat="1" applyBorder="1"/>
    <xf numFmtId="0" fontId="7" fillId="10" borderId="1" xfId="0" applyFont="1" applyFill="1" applyBorder="1" applyAlignment="1">
      <alignment vertical="center" wrapText="1"/>
    </xf>
    <xf numFmtId="0" fontId="6" fillId="11" borderId="1" xfId="0" applyFont="1" applyFill="1" applyBorder="1" applyAlignment="1">
      <alignment vertical="center" wrapText="1"/>
    </xf>
    <xf numFmtId="0" fontId="0" fillId="12" borderId="0" xfId="0" applyFill="1"/>
    <xf numFmtId="164" fontId="0" fillId="3" borderId="1" xfId="9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vertical="center" wrapText="1"/>
    </xf>
    <xf numFmtId="164" fontId="0" fillId="5" borderId="1" xfId="9" applyNumberFormat="1" applyFon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14" borderId="1" xfId="0" applyFill="1" applyBorder="1"/>
    <xf numFmtId="0" fontId="0" fillId="14" borderId="1" xfId="0" applyFill="1" applyBorder="1" applyAlignment="1">
      <alignment horizontal="center" vertical="center"/>
    </xf>
    <xf numFmtId="164" fontId="0" fillId="14" borderId="1" xfId="9" applyNumberFormat="1" applyFont="1" applyFill="1" applyBorder="1" applyAlignment="1">
      <alignment horizontal="center" vertical="center"/>
    </xf>
    <xf numFmtId="1" fontId="0" fillId="14" borderId="1" xfId="9" applyNumberFormat="1" applyFont="1" applyFill="1" applyBorder="1" applyAlignment="1">
      <alignment horizontal="center" vertical="center"/>
    </xf>
    <xf numFmtId="164" fontId="0" fillId="14" borderId="1" xfId="0" applyNumberFormat="1" applyFill="1" applyBorder="1" applyAlignment="1">
      <alignment horizontal="center" vertical="center"/>
    </xf>
    <xf numFmtId="1" fontId="0" fillId="14" borderId="1" xfId="0" applyNumberForma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 wrapText="1"/>
    </xf>
    <xf numFmtId="10" fontId="0" fillId="9" borderId="1" xfId="9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11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left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14" borderId="6" xfId="0" applyFill="1" applyBorder="1" applyAlignment="1"/>
    <xf numFmtId="0" fontId="0" fillId="14" borderId="7" xfId="0" applyFill="1" applyBorder="1" applyAlignment="1"/>
    <xf numFmtId="0" fontId="0" fillId="3" borderId="8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7" borderId="5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1" fontId="1" fillId="9" borderId="3" xfId="0" applyNumberFormat="1" applyFont="1" applyFill="1" applyBorder="1" applyAlignment="1">
      <alignment horizontal="center" vertical="center" wrapText="1"/>
    </xf>
    <xf numFmtId="1" fontId="1" fillId="9" borderId="5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9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7" xfId="0" applyBorder="1" applyAlignment="1"/>
    <xf numFmtId="0" fontId="2" fillId="3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164" fontId="1" fillId="12" borderId="1" xfId="0" applyNumberFormat="1" applyFont="1" applyFill="1" applyBorder="1" applyAlignment="1">
      <alignment horizontal="center" vertical="center" wrapText="1"/>
    </xf>
    <xf numFmtId="164" fontId="0" fillId="12" borderId="1" xfId="9" applyNumberFormat="1" applyFont="1" applyFill="1" applyBorder="1" applyAlignment="1">
      <alignment horizontal="center" vertical="center"/>
    </xf>
    <xf numFmtId="10" fontId="0" fillId="12" borderId="1" xfId="9" applyNumberFormat="1" applyFont="1" applyFill="1" applyBorder="1" applyAlignment="1">
      <alignment horizontal="center" vertical="center"/>
    </xf>
    <xf numFmtId="1" fontId="0" fillId="12" borderId="1" xfId="9" applyNumberFormat="1" applyFont="1" applyFill="1" applyBorder="1" applyAlignment="1">
      <alignment horizontal="center" vertical="center"/>
    </xf>
    <xf numFmtId="164" fontId="0" fillId="12" borderId="1" xfId="0" applyNumberFormat="1" applyFill="1" applyBorder="1" applyAlignment="1">
      <alignment horizontal="center" vertical="center"/>
    </xf>
    <xf numFmtId="164" fontId="0" fillId="12" borderId="1" xfId="0" applyNumberFormat="1" applyFill="1" applyBorder="1"/>
  </cellXfs>
  <cellStyles count="10">
    <cellStyle name="Гиперссылка 2" xfId="7"/>
    <cellStyle name="Гиперссылка 3" xfId="8"/>
    <cellStyle name="Обычный" xfId="0" builtinId="0"/>
    <cellStyle name="Обычный 2" xfId="2"/>
    <cellStyle name="Обычный 3" xfId="4"/>
    <cellStyle name="Обычный 4" xfId="3"/>
    <cellStyle name="Обычный 4 2" xfId="6"/>
    <cellStyle name="Обычный 5" xfId="5"/>
    <cellStyle name="Обычный 6" xfId="1"/>
    <cellStyle name="Процентный" xfId="9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view="pageBreakPreview" zoomScale="70" zoomScaleNormal="80" zoomScaleSheetLayoutView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W9" sqref="W9"/>
    </sheetView>
  </sheetViews>
  <sheetFormatPr defaultRowHeight="15"/>
  <cols>
    <col min="1" max="1" width="7.85546875" customWidth="1"/>
    <col min="2" max="2" width="22.85546875" customWidth="1"/>
    <col min="3" max="3" width="37" style="3" customWidth="1"/>
    <col min="6" max="6" width="11.42578125" customWidth="1"/>
    <col min="7" max="7" width="11.42578125" style="8" customWidth="1"/>
    <col min="8" max="8" width="11.42578125" style="68" customWidth="1"/>
    <col min="9" max="9" width="13" style="8" customWidth="1"/>
    <col min="10" max="12" width="12.42578125" style="72" customWidth="1"/>
    <col min="13" max="13" width="9.5703125" style="8" customWidth="1"/>
    <col min="14" max="14" width="13" style="8" customWidth="1"/>
    <col min="15" max="15" width="11.140625" customWidth="1"/>
    <col min="18" max="19" width="9.140625" style="65"/>
    <col min="20" max="20" width="9.140625" style="68"/>
    <col min="21" max="23" width="9.140625" style="72"/>
    <col min="24" max="24" width="9.140625" style="68"/>
    <col min="25" max="25" width="9.140625" style="8"/>
    <col min="26" max="26" width="10.28515625" customWidth="1"/>
    <col min="29" max="29" width="10.28515625" style="68" customWidth="1"/>
    <col min="30" max="30" width="11" style="68" customWidth="1"/>
    <col min="31" max="31" width="9.140625" style="68"/>
    <col min="32" max="34" width="9.140625" style="72"/>
    <col min="35" max="35" width="9.140625" style="68"/>
    <col min="36" max="36" width="9.140625" style="8"/>
    <col min="40" max="42" width="9.140625" style="68"/>
    <col min="43" max="45" width="9.140625" style="72"/>
    <col min="46" max="46" width="9.140625" style="68"/>
    <col min="47" max="47" width="9.140625" style="8"/>
    <col min="51" max="53" width="9.140625" style="68"/>
    <col min="54" max="56" width="9.140625" style="72"/>
    <col min="57" max="57" width="9.140625" style="68"/>
    <col min="58" max="58" width="9.140625" style="8"/>
    <col min="62" max="64" width="9.140625" style="68"/>
    <col min="65" max="67" width="9.140625" style="72"/>
    <col min="68" max="68" width="9.140625" style="68"/>
    <col min="69" max="69" width="9.140625" style="8"/>
    <col min="73" max="75" width="9.140625" style="68"/>
    <col min="76" max="78" width="9.140625" style="72"/>
    <col min="79" max="79" width="9.140625" style="68"/>
    <col min="81" max="81" width="30.85546875" style="8" customWidth="1"/>
    <col min="82" max="82" width="29.28515625" customWidth="1"/>
  </cols>
  <sheetData>
    <row r="1" spans="1:82" ht="20.25">
      <c r="A1" s="155" t="s">
        <v>92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76"/>
      <c r="BV1" s="76"/>
    </row>
    <row r="2" spans="1:82" s="8" customFormat="1" ht="20.25">
      <c r="A2" s="18"/>
      <c r="B2" s="18"/>
      <c r="C2" s="18"/>
      <c r="D2" s="18"/>
      <c r="E2" s="18"/>
      <c r="F2" s="18"/>
      <c r="G2" s="45"/>
      <c r="H2" s="67"/>
      <c r="I2" s="18"/>
      <c r="J2" s="69"/>
      <c r="K2" s="69"/>
      <c r="L2" s="69"/>
      <c r="M2" s="18"/>
      <c r="N2" s="18"/>
      <c r="O2" s="18"/>
      <c r="P2" s="18"/>
      <c r="Q2" s="18"/>
      <c r="R2" s="63"/>
      <c r="S2" s="63"/>
      <c r="T2" s="67"/>
      <c r="U2" s="69"/>
      <c r="V2" s="69"/>
      <c r="W2" s="69"/>
      <c r="X2" s="67"/>
      <c r="Y2" s="52"/>
      <c r="Z2" s="18"/>
      <c r="AA2" s="18"/>
      <c r="AB2" s="18"/>
      <c r="AC2" s="67"/>
      <c r="AD2" s="67"/>
      <c r="AE2" s="67"/>
      <c r="AF2" s="69"/>
      <c r="AG2" s="69"/>
      <c r="AH2" s="69"/>
      <c r="AI2" s="67"/>
      <c r="AJ2" s="52"/>
      <c r="AK2" s="18"/>
      <c r="AL2" s="18"/>
      <c r="AM2" s="18"/>
      <c r="AN2" s="67"/>
      <c r="AO2" s="67"/>
      <c r="AP2" s="67"/>
      <c r="AQ2" s="69"/>
      <c r="AR2" s="69"/>
      <c r="AS2" s="69"/>
      <c r="AT2" s="67"/>
      <c r="AU2" s="52"/>
      <c r="AV2" s="18"/>
      <c r="AW2" s="18"/>
      <c r="AX2" s="18"/>
      <c r="AY2" s="67"/>
      <c r="AZ2" s="67"/>
      <c r="BA2" s="67"/>
      <c r="BB2" s="69"/>
      <c r="BC2" s="69"/>
      <c r="BD2" s="69"/>
      <c r="BE2" s="67"/>
      <c r="BF2" s="54"/>
      <c r="BG2" s="18"/>
      <c r="BH2" s="18"/>
      <c r="BI2" s="18"/>
      <c r="BJ2" s="67"/>
      <c r="BK2" s="67"/>
      <c r="BL2" s="67"/>
      <c r="BM2" s="69"/>
      <c r="BN2" s="69"/>
      <c r="BO2" s="69"/>
      <c r="BP2" s="67"/>
      <c r="BQ2" s="54"/>
      <c r="BR2" s="18"/>
      <c r="BS2" s="18"/>
      <c r="BT2" s="18"/>
      <c r="BU2" s="67"/>
      <c r="BV2" s="67"/>
      <c r="BW2" s="68"/>
      <c r="BX2" s="72"/>
      <c r="BY2" s="72"/>
      <c r="BZ2" s="72"/>
      <c r="CA2" s="68"/>
    </row>
    <row r="3" spans="1:82" ht="20.25">
      <c r="A3" s="19"/>
      <c r="B3" s="19"/>
      <c r="C3" s="19"/>
      <c r="D3" s="19"/>
      <c r="E3" s="19"/>
      <c r="F3" s="19"/>
      <c r="G3" s="46"/>
      <c r="H3" s="81"/>
      <c r="I3" s="19"/>
      <c r="J3" s="70"/>
      <c r="K3" s="70"/>
      <c r="L3" s="70"/>
      <c r="M3" s="19"/>
      <c r="N3" s="19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8"/>
      <c r="BR3" s="158"/>
      <c r="BS3" s="158"/>
      <c r="BT3" s="158"/>
      <c r="BU3" s="77"/>
      <c r="BV3" s="77"/>
    </row>
    <row r="4" spans="1:82" ht="87.75" customHeight="1">
      <c r="A4" s="151" t="s">
        <v>103</v>
      </c>
      <c r="B4" s="151" t="s">
        <v>0</v>
      </c>
      <c r="C4" s="152" t="s">
        <v>102</v>
      </c>
      <c r="D4" s="132" t="s">
        <v>104</v>
      </c>
      <c r="E4" s="133"/>
      <c r="F4" s="133"/>
      <c r="G4" s="133"/>
      <c r="H4" s="133"/>
      <c r="I4" s="161"/>
      <c r="J4" s="161"/>
      <c r="K4" s="161"/>
      <c r="L4" s="161"/>
      <c r="M4" s="161"/>
      <c r="N4" s="162"/>
      <c r="O4" s="137" t="s">
        <v>1</v>
      </c>
      <c r="P4" s="138"/>
      <c r="Q4" s="138"/>
      <c r="R4" s="138"/>
      <c r="S4" s="138"/>
      <c r="T4" s="134"/>
      <c r="U4" s="134"/>
      <c r="V4" s="134"/>
      <c r="W4" s="134"/>
      <c r="X4" s="134"/>
      <c r="Y4" s="135"/>
      <c r="Z4" s="132" t="s">
        <v>2</v>
      </c>
      <c r="AA4" s="133"/>
      <c r="AB4" s="133"/>
      <c r="AC4" s="133"/>
      <c r="AD4" s="133"/>
      <c r="AE4" s="134"/>
      <c r="AF4" s="134"/>
      <c r="AG4" s="134"/>
      <c r="AH4" s="134"/>
      <c r="AI4" s="134"/>
      <c r="AJ4" s="135"/>
      <c r="AK4" s="137" t="s">
        <v>3</v>
      </c>
      <c r="AL4" s="138"/>
      <c r="AM4" s="138"/>
      <c r="AN4" s="138"/>
      <c r="AO4" s="138"/>
      <c r="AP4" s="134"/>
      <c r="AQ4" s="134"/>
      <c r="AR4" s="134"/>
      <c r="AS4" s="134"/>
      <c r="AT4" s="134"/>
      <c r="AU4" s="135"/>
      <c r="AV4" s="137" t="s">
        <v>4</v>
      </c>
      <c r="AW4" s="138"/>
      <c r="AX4" s="138"/>
      <c r="AY4" s="138"/>
      <c r="AZ4" s="138"/>
      <c r="BA4" s="134"/>
      <c r="BB4" s="134"/>
      <c r="BC4" s="134"/>
      <c r="BD4" s="134"/>
      <c r="BE4" s="134"/>
      <c r="BF4" s="135"/>
      <c r="BG4" s="137" t="s">
        <v>5</v>
      </c>
      <c r="BH4" s="138"/>
      <c r="BI4" s="138"/>
      <c r="BJ4" s="138"/>
      <c r="BK4" s="138"/>
      <c r="BL4" s="134"/>
      <c r="BM4" s="134"/>
      <c r="BN4" s="134"/>
      <c r="BO4" s="134"/>
      <c r="BP4" s="134"/>
      <c r="BQ4" s="135"/>
      <c r="BR4" s="163" t="s">
        <v>6</v>
      </c>
      <c r="BS4" s="163"/>
      <c r="BT4" s="163"/>
      <c r="BU4" s="163"/>
      <c r="BV4" s="163"/>
      <c r="BW4" s="164"/>
      <c r="BX4" s="164"/>
      <c r="BY4" s="164"/>
      <c r="BZ4" s="164"/>
      <c r="CA4" s="164"/>
      <c r="CB4" s="164"/>
      <c r="CC4" s="172" t="s">
        <v>101</v>
      </c>
      <c r="CD4" s="173"/>
    </row>
    <row r="5" spans="1:82" ht="96" customHeight="1">
      <c r="A5" s="151"/>
      <c r="B5" s="151"/>
      <c r="C5" s="153"/>
      <c r="D5" s="149" t="s">
        <v>112</v>
      </c>
      <c r="E5" s="20"/>
      <c r="F5" s="20"/>
      <c r="G5" s="150" t="s">
        <v>113</v>
      </c>
      <c r="H5" s="131" t="s">
        <v>114</v>
      </c>
      <c r="I5" s="58"/>
      <c r="J5" s="71"/>
      <c r="K5" s="181"/>
      <c r="L5" s="181"/>
      <c r="M5" s="17"/>
      <c r="N5" s="17"/>
      <c r="O5" s="149" t="s">
        <v>111</v>
      </c>
      <c r="P5" s="20"/>
      <c r="Q5" s="20"/>
      <c r="R5" s="136" t="s">
        <v>115</v>
      </c>
      <c r="S5" s="131" t="s">
        <v>116</v>
      </c>
      <c r="T5" s="64"/>
      <c r="U5" s="71"/>
      <c r="V5" s="181"/>
      <c r="W5" s="181"/>
      <c r="X5" s="88"/>
      <c r="Y5" s="51"/>
      <c r="Z5" s="165" t="s">
        <v>117</v>
      </c>
      <c r="AA5" s="20"/>
      <c r="AB5" s="20"/>
      <c r="AC5" s="168" t="s">
        <v>118</v>
      </c>
      <c r="AD5" s="170" t="s">
        <v>119</v>
      </c>
      <c r="AE5" s="64"/>
      <c r="AF5" s="71"/>
      <c r="AG5" s="181"/>
      <c r="AH5" s="181"/>
      <c r="AI5" s="88"/>
      <c r="AJ5" s="53"/>
      <c r="AK5" s="149" t="s">
        <v>120</v>
      </c>
      <c r="AL5" s="20"/>
      <c r="AM5" s="20"/>
      <c r="AN5" s="136" t="s">
        <v>121</v>
      </c>
      <c r="AO5" s="131" t="s">
        <v>122</v>
      </c>
      <c r="AP5" s="64"/>
      <c r="AQ5" s="71"/>
      <c r="AR5" s="181"/>
      <c r="AS5" s="181"/>
      <c r="AT5" s="88"/>
      <c r="AU5" s="53"/>
      <c r="AV5" s="149" t="s">
        <v>123</v>
      </c>
      <c r="AW5" s="20"/>
      <c r="AX5" s="20"/>
      <c r="AY5" s="136" t="s">
        <v>124</v>
      </c>
      <c r="AZ5" s="131" t="s">
        <v>125</v>
      </c>
      <c r="BA5" s="64"/>
      <c r="BB5" s="71"/>
      <c r="BC5" s="181"/>
      <c r="BD5" s="181"/>
      <c r="BE5" s="88"/>
      <c r="BF5" s="55"/>
      <c r="BG5" s="149" t="s">
        <v>126</v>
      </c>
      <c r="BH5" s="20"/>
      <c r="BI5" s="20"/>
      <c r="BJ5" s="136" t="s">
        <v>127</v>
      </c>
      <c r="BK5" s="131" t="s">
        <v>128</v>
      </c>
      <c r="BL5" s="64"/>
      <c r="BM5" s="71"/>
      <c r="BN5" s="181"/>
      <c r="BO5" s="181"/>
      <c r="BP5" s="88"/>
      <c r="BQ5" s="56"/>
      <c r="BR5" s="166" t="s">
        <v>129</v>
      </c>
      <c r="BS5" s="42"/>
      <c r="BT5" s="42"/>
      <c r="BU5" s="167" t="s">
        <v>130</v>
      </c>
      <c r="BV5" s="169" t="s">
        <v>131</v>
      </c>
      <c r="BW5" s="79"/>
      <c r="BX5" s="78"/>
      <c r="BY5" s="186"/>
      <c r="BZ5" s="186"/>
      <c r="CA5" s="90"/>
      <c r="CB5" s="12"/>
      <c r="CC5" s="174"/>
      <c r="CD5" s="175"/>
    </row>
    <row r="6" spans="1:82" ht="49.5" customHeight="1">
      <c r="A6" s="151"/>
      <c r="B6" s="151"/>
      <c r="C6" s="154"/>
      <c r="D6" s="149"/>
      <c r="E6" s="20" t="s">
        <v>93</v>
      </c>
      <c r="F6" s="20" t="s">
        <v>94</v>
      </c>
      <c r="G6" s="150"/>
      <c r="H6" s="131"/>
      <c r="I6" s="58" t="s">
        <v>95</v>
      </c>
      <c r="J6" s="71" t="s">
        <v>96</v>
      </c>
      <c r="K6" s="181" t="s">
        <v>245</v>
      </c>
      <c r="L6" s="181" t="s">
        <v>246</v>
      </c>
      <c r="M6" s="17" t="s">
        <v>97</v>
      </c>
      <c r="N6" s="17" t="s">
        <v>98</v>
      </c>
      <c r="O6" s="149"/>
      <c r="P6" s="20" t="s">
        <v>93</v>
      </c>
      <c r="Q6" s="20" t="s">
        <v>94</v>
      </c>
      <c r="R6" s="136"/>
      <c r="S6" s="131"/>
      <c r="T6" s="64" t="s">
        <v>95</v>
      </c>
      <c r="U6" s="71" t="s">
        <v>96</v>
      </c>
      <c r="V6" s="181" t="s">
        <v>245</v>
      </c>
      <c r="W6" s="181" t="s">
        <v>246</v>
      </c>
      <c r="X6" s="88" t="s">
        <v>97</v>
      </c>
      <c r="Y6" s="53" t="s">
        <v>98</v>
      </c>
      <c r="Z6" s="166"/>
      <c r="AA6" s="20" t="s">
        <v>93</v>
      </c>
      <c r="AB6" s="20" t="s">
        <v>94</v>
      </c>
      <c r="AC6" s="167"/>
      <c r="AD6" s="169"/>
      <c r="AE6" s="64" t="s">
        <v>95</v>
      </c>
      <c r="AF6" s="71" t="s">
        <v>96</v>
      </c>
      <c r="AG6" s="181" t="s">
        <v>245</v>
      </c>
      <c r="AH6" s="181" t="s">
        <v>246</v>
      </c>
      <c r="AI6" s="88" t="s">
        <v>97</v>
      </c>
      <c r="AJ6" s="53" t="s">
        <v>98</v>
      </c>
      <c r="AK6" s="149"/>
      <c r="AL6" s="20" t="s">
        <v>93</v>
      </c>
      <c r="AM6" s="20" t="s">
        <v>94</v>
      </c>
      <c r="AN6" s="136"/>
      <c r="AO6" s="131"/>
      <c r="AP6" s="64" t="s">
        <v>95</v>
      </c>
      <c r="AQ6" s="71" t="s">
        <v>96</v>
      </c>
      <c r="AR6" s="181" t="s">
        <v>245</v>
      </c>
      <c r="AS6" s="181" t="s">
        <v>246</v>
      </c>
      <c r="AT6" s="88" t="s">
        <v>97</v>
      </c>
      <c r="AU6" s="53" t="s">
        <v>98</v>
      </c>
      <c r="AV6" s="149"/>
      <c r="AW6" s="20" t="s">
        <v>93</v>
      </c>
      <c r="AX6" s="20" t="s">
        <v>94</v>
      </c>
      <c r="AY6" s="136"/>
      <c r="AZ6" s="131"/>
      <c r="BA6" s="64" t="s">
        <v>95</v>
      </c>
      <c r="BB6" s="71" t="s">
        <v>96</v>
      </c>
      <c r="BC6" s="181" t="s">
        <v>245</v>
      </c>
      <c r="BD6" s="181" t="s">
        <v>246</v>
      </c>
      <c r="BE6" s="88" t="s">
        <v>97</v>
      </c>
      <c r="BF6" s="55" t="s">
        <v>98</v>
      </c>
      <c r="BG6" s="149"/>
      <c r="BH6" s="20" t="s">
        <v>93</v>
      </c>
      <c r="BI6" s="20" t="s">
        <v>94</v>
      </c>
      <c r="BJ6" s="136"/>
      <c r="BK6" s="131"/>
      <c r="BL6" s="64" t="s">
        <v>95</v>
      </c>
      <c r="BM6" s="71" t="s">
        <v>96</v>
      </c>
      <c r="BN6" s="181" t="s">
        <v>245</v>
      </c>
      <c r="BO6" s="181" t="s">
        <v>246</v>
      </c>
      <c r="BP6" s="88" t="s">
        <v>97</v>
      </c>
      <c r="BQ6" s="55" t="s">
        <v>98</v>
      </c>
      <c r="BR6" s="149"/>
      <c r="BS6" s="20" t="s">
        <v>93</v>
      </c>
      <c r="BT6" s="20" t="s">
        <v>94</v>
      </c>
      <c r="BU6" s="136"/>
      <c r="BV6" s="131"/>
      <c r="BW6" s="64" t="s">
        <v>95</v>
      </c>
      <c r="BX6" s="71" t="s">
        <v>96</v>
      </c>
      <c r="BY6" s="181" t="s">
        <v>245</v>
      </c>
      <c r="BZ6" s="181" t="s">
        <v>246</v>
      </c>
      <c r="CA6" s="88" t="s">
        <v>97</v>
      </c>
      <c r="CB6" s="55" t="s">
        <v>98</v>
      </c>
      <c r="CC6" s="176"/>
      <c r="CD6" s="177"/>
    </row>
    <row r="7" spans="1:82" s="5" customFormat="1" ht="59.25" customHeight="1">
      <c r="A7" s="6">
        <v>1</v>
      </c>
      <c r="B7" s="6">
        <v>2</v>
      </c>
      <c r="C7" s="7">
        <v>3</v>
      </c>
      <c r="D7" s="48" t="s">
        <v>105</v>
      </c>
      <c r="E7" s="48" t="s">
        <v>106</v>
      </c>
      <c r="F7" s="43" t="s">
        <v>100</v>
      </c>
      <c r="G7" s="58">
        <v>7</v>
      </c>
      <c r="H7" s="82">
        <v>8</v>
      </c>
      <c r="I7" s="58" t="s">
        <v>107</v>
      </c>
      <c r="J7" s="71" t="s">
        <v>109</v>
      </c>
      <c r="K7" s="181"/>
      <c r="L7" s="181"/>
      <c r="M7" s="47" t="s">
        <v>108</v>
      </c>
      <c r="N7" s="47" t="s">
        <v>110</v>
      </c>
      <c r="O7" s="20">
        <v>13</v>
      </c>
      <c r="P7" s="20">
        <v>14</v>
      </c>
      <c r="Q7" s="20">
        <v>15</v>
      </c>
      <c r="R7" s="64"/>
      <c r="S7" s="82"/>
      <c r="T7" s="64">
        <v>16</v>
      </c>
      <c r="U7" s="71"/>
      <c r="V7" s="181"/>
      <c r="W7" s="181"/>
      <c r="X7" s="88">
        <v>17</v>
      </c>
      <c r="Y7" s="53"/>
      <c r="Z7" s="20">
        <v>18</v>
      </c>
      <c r="AA7" s="20">
        <v>19</v>
      </c>
      <c r="AB7" s="20">
        <v>20</v>
      </c>
      <c r="AC7" s="64"/>
      <c r="AD7" s="82"/>
      <c r="AE7" s="64">
        <v>21</v>
      </c>
      <c r="AF7" s="71"/>
      <c r="AG7" s="181"/>
      <c r="AH7" s="181"/>
      <c r="AI7" s="88">
        <v>22</v>
      </c>
      <c r="AJ7" s="53"/>
      <c r="AK7" s="20">
        <v>23</v>
      </c>
      <c r="AL7" s="20">
        <v>24</v>
      </c>
      <c r="AM7" s="20">
        <v>25</v>
      </c>
      <c r="AN7" s="64"/>
      <c r="AO7" s="82"/>
      <c r="AP7" s="64">
        <v>26</v>
      </c>
      <c r="AQ7" s="71"/>
      <c r="AR7" s="181"/>
      <c r="AS7" s="181"/>
      <c r="AT7" s="88">
        <v>27</v>
      </c>
      <c r="AU7" s="53"/>
      <c r="AV7" s="20">
        <v>28</v>
      </c>
      <c r="AW7" s="20">
        <v>29</v>
      </c>
      <c r="AX7" s="20">
        <v>30</v>
      </c>
      <c r="AY7" s="64"/>
      <c r="AZ7" s="82"/>
      <c r="BA7" s="64">
        <v>31</v>
      </c>
      <c r="BB7" s="71"/>
      <c r="BC7" s="181"/>
      <c r="BD7" s="181"/>
      <c r="BE7" s="88">
        <v>32</v>
      </c>
      <c r="BF7" s="55"/>
      <c r="BG7" s="20">
        <v>33</v>
      </c>
      <c r="BH7" s="20">
        <v>34</v>
      </c>
      <c r="BI7" s="20">
        <v>35</v>
      </c>
      <c r="BJ7" s="64"/>
      <c r="BK7" s="82"/>
      <c r="BL7" s="64">
        <v>35</v>
      </c>
      <c r="BM7" s="71"/>
      <c r="BN7" s="181"/>
      <c r="BO7" s="181"/>
      <c r="BP7" s="88">
        <v>37</v>
      </c>
      <c r="BQ7" s="55"/>
      <c r="BR7" s="20">
        <v>37</v>
      </c>
      <c r="BS7" s="20">
        <v>39</v>
      </c>
      <c r="BT7" s="20">
        <v>40</v>
      </c>
      <c r="BU7" s="64"/>
      <c r="BV7" s="82"/>
      <c r="BW7" s="64">
        <v>41</v>
      </c>
      <c r="BX7" s="71"/>
      <c r="BY7" s="181"/>
      <c r="BZ7" s="181"/>
      <c r="CA7" s="82"/>
      <c r="CB7" s="44">
        <v>42</v>
      </c>
      <c r="CC7" s="132">
        <v>43</v>
      </c>
      <c r="CD7" s="178"/>
    </row>
    <row r="8" spans="1:82" ht="47.25">
      <c r="A8" s="15">
        <v>1</v>
      </c>
      <c r="B8" s="91" t="s">
        <v>7</v>
      </c>
      <c r="C8" s="57" t="s">
        <v>136</v>
      </c>
      <c r="D8" s="21">
        <f>O8+Z8+AK8+AV8+BG8+BR8+18</f>
        <v>193</v>
      </c>
      <c r="E8" s="21">
        <f>P8+AA8+AL8+AW8+BH8+BS8</f>
        <v>105</v>
      </c>
      <c r="F8" s="22">
        <f>E8/D8</f>
        <v>0.54404145077720212</v>
      </c>
      <c r="G8" s="62">
        <f>R8+AC8+AN8+AY8+BJ8+BU8+18</f>
        <v>193</v>
      </c>
      <c r="H8" s="83">
        <f>S8+AD8+AO8+AZ8+BK8+BV8+18</f>
        <v>193</v>
      </c>
      <c r="I8" s="60">
        <f>T8+AE8+AP8+BA8++BL8+BW8</f>
        <v>123</v>
      </c>
      <c r="J8" s="59">
        <f>I8/G8</f>
        <v>0.63730569948186533</v>
      </c>
      <c r="K8" s="182"/>
      <c r="L8" s="182"/>
      <c r="M8" s="49">
        <f>X8+AI8+AT8+BE8+BP8+CA8</f>
        <v>129</v>
      </c>
      <c r="N8" s="16">
        <f>M8/H8</f>
        <v>0.66839378238341973</v>
      </c>
      <c r="O8" s="21">
        <v>17</v>
      </c>
      <c r="P8" s="21">
        <v>14</v>
      </c>
      <c r="Q8" s="22">
        <f>P8/O8</f>
        <v>0.82352941176470584</v>
      </c>
      <c r="R8" s="60">
        <v>18</v>
      </c>
      <c r="S8" s="87">
        <v>18</v>
      </c>
      <c r="T8" s="62">
        <v>16</v>
      </c>
      <c r="U8" s="61">
        <f>T8/R8</f>
        <v>0.88888888888888884</v>
      </c>
      <c r="V8" s="185"/>
      <c r="W8" s="185"/>
      <c r="X8" s="83">
        <v>16</v>
      </c>
      <c r="Y8" s="80">
        <f>X8/S8</f>
        <v>0.88888888888888884</v>
      </c>
      <c r="Z8" s="21">
        <v>9</v>
      </c>
      <c r="AA8" s="21">
        <v>4</v>
      </c>
      <c r="AB8" s="22">
        <f>AA8/Z8</f>
        <v>0.44444444444444442</v>
      </c>
      <c r="AC8" s="60">
        <v>9</v>
      </c>
      <c r="AD8" s="87">
        <v>9</v>
      </c>
      <c r="AE8" s="62">
        <v>8</v>
      </c>
      <c r="AF8" s="61">
        <f>AE8/AC8</f>
        <v>0.88888888888888884</v>
      </c>
      <c r="AG8" s="185"/>
      <c r="AH8" s="185"/>
      <c r="AI8" s="83">
        <v>8</v>
      </c>
      <c r="AJ8" s="80">
        <f>AI8/AD8</f>
        <v>0.88888888888888884</v>
      </c>
      <c r="AK8" s="21">
        <v>61</v>
      </c>
      <c r="AL8" s="21">
        <v>25</v>
      </c>
      <c r="AM8" s="22">
        <f>AL8/AK8</f>
        <v>0.4098360655737705</v>
      </c>
      <c r="AN8" s="60">
        <v>66</v>
      </c>
      <c r="AO8" s="87">
        <v>66</v>
      </c>
      <c r="AP8" s="62">
        <v>31</v>
      </c>
      <c r="AQ8" s="61">
        <f>AP8/AN8</f>
        <v>0.46969696969696972</v>
      </c>
      <c r="AR8" s="185"/>
      <c r="AS8" s="185"/>
      <c r="AT8" s="83">
        <v>34</v>
      </c>
      <c r="AU8" s="80">
        <f>AT8/AO8</f>
        <v>0.51515151515151514</v>
      </c>
      <c r="AV8" s="21">
        <v>70</v>
      </c>
      <c r="AW8" s="21">
        <v>50</v>
      </c>
      <c r="AX8" s="22">
        <f>AW8/AV8</f>
        <v>0.7142857142857143</v>
      </c>
      <c r="AY8" s="60">
        <v>64</v>
      </c>
      <c r="AZ8" s="87">
        <v>64</v>
      </c>
      <c r="BA8" s="62">
        <v>55</v>
      </c>
      <c r="BB8" s="61">
        <f>BA8/AY8</f>
        <v>0.859375</v>
      </c>
      <c r="BC8" s="185"/>
      <c r="BD8" s="185"/>
      <c r="BE8" s="83">
        <v>58</v>
      </c>
      <c r="BF8" s="80">
        <f>BE8/AZ8</f>
        <v>0.90625</v>
      </c>
      <c r="BG8" s="21">
        <v>7</v>
      </c>
      <c r="BH8" s="21">
        <v>4</v>
      </c>
      <c r="BI8" s="22">
        <f>BH8/BG8</f>
        <v>0.5714285714285714</v>
      </c>
      <c r="BJ8" s="60">
        <v>6</v>
      </c>
      <c r="BK8" s="87">
        <v>6</v>
      </c>
      <c r="BL8" s="62">
        <v>4</v>
      </c>
      <c r="BM8" s="61">
        <f>BL8/BJ8</f>
        <v>0.66666666666666663</v>
      </c>
      <c r="BN8" s="185"/>
      <c r="BO8" s="185"/>
      <c r="BP8" s="83">
        <v>4</v>
      </c>
      <c r="BQ8" s="80">
        <f>BP8/BK8</f>
        <v>0.66666666666666663</v>
      </c>
      <c r="BR8" s="21">
        <v>11</v>
      </c>
      <c r="BS8" s="21">
        <v>8</v>
      </c>
      <c r="BT8" s="22">
        <f>BS8/BR8</f>
        <v>0.72727272727272729</v>
      </c>
      <c r="BU8" s="60">
        <v>12</v>
      </c>
      <c r="BV8" s="87">
        <v>12</v>
      </c>
      <c r="BW8" s="62">
        <v>9</v>
      </c>
      <c r="BX8" s="61">
        <f>BW8/BU8</f>
        <v>0.75</v>
      </c>
      <c r="BY8" s="185"/>
      <c r="BZ8" s="185"/>
      <c r="CA8" s="83">
        <v>9</v>
      </c>
      <c r="CB8" s="80">
        <f>CA8/BV8</f>
        <v>0.75</v>
      </c>
      <c r="CC8" s="117" t="s">
        <v>135</v>
      </c>
      <c r="CD8" s="121"/>
    </row>
    <row r="9" spans="1:82" ht="57.75" customHeight="1">
      <c r="A9" s="15">
        <v>2</v>
      </c>
      <c r="B9" s="92" t="s">
        <v>8</v>
      </c>
      <c r="C9" s="14" t="s">
        <v>134</v>
      </c>
      <c r="D9" s="21">
        <f>O9+Z9+AK9+AV9+BG9+BR9+6</f>
        <v>119</v>
      </c>
      <c r="E9" s="21">
        <f>P9+AA9+AL9+AW9+BH9+BS9+6</f>
        <v>84</v>
      </c>
      <c r="F9" s="22">
        <f>E9/D9</f>
        <v>0.70588235294117652</v>
      </c>
      <c r="G9" s="62">
        <f>R9+AC9+AN9+AY9+BJ9+BU9+6</f>
        <v>119</v>
      </c>
      <c r="H9" s="83">
        <f>S9+AD9+AO9+AZ9+BK9+BV9+6</f>
        <v>119</v>
      </c>
      <c r="I9" s="60">
        <f>T9+AE9+AP9+BA9++BL9+BW9+6</f>
        <v>119</v>
      </c>
      <c r="J9" s="59">
        <f t="shared" ref="J9:J72" si="0">I9/G9</f>
        <v>1</v>
      </c>
      <c r="K9" s="182"/>
      <c r="L9" s="182"/>
      <c r="M9" s="49">
        <f>X9+AI9+AT9+BE9+BP9+CA9+6</f>
        <v>119</v>
      </c>
      <c r="N9" s="16">
        <f>M9/H9</f>
        <v>1</v>
      </c>
      <c r="O9" s="21">
        <v>26</v>
      </c>
      <c r="P9" s="21">
        <v>24</v>
      </c>
      <c r="Q9" s="22">
        <f>P9/O9</f>
        <v>0.92307692307692313</v>
      </c>
      <c r="R9" s="60">
        <v>26</v>
      </c>
      <c r="S9" s="87">
        <v>26</v>
      </c>
      <c r="T9" s="62">
        <v>26</v>
      </c>
      <c r="U9" s="61">
        <f t="shared" ref="U9:U72" si="1">T9/R9</f>
        <v>1</v>
      </c>
      <c r="V9" s="185"/>
      <c r="W9" s="185"/>
      <c r="X9" s="83">
        <v>26</v>
      </c>
      <c r="Y9" s="80">
        <f t="shared" ref="Y9:Y72" si="2">X9/S9</f>
        <v>1</v>
      </c>
      <c r="Z9" s="21">
        <v>11</v>
      </c>
      <c r="AA9" s="21">
        <v>11</v>
      </c>
      <c r="AB9" s="22">
        <f>AA9/Z9</f>
        <v>1</v>
      </c>
      <c r="AC9" s="60">
        <v>11</v>
      </c>
      <c r="AD9" s="87">
        <v>11</v>
      </c>
      <c r="AE9" s="62">
        <v>11</v>
      </c>
      <c r="AF9" s="61">
        <f t="shared" ref="AF9:AF72" si="3">AE9/AC9</f>
        <v>1</v>
      </c>
      <c r="AG9" s="185"/>
      <c r="AH9" s="185"/>
      <c r="AI9" s="83">
        <v>11</v>
      </c>
      <c r="AJ9" s="80">
        <f t="shared" ref="AJ9:AJ72" si="4">AI9/AD9</f>
        <v>1</v>
      </c>
      <c r="AK9" s="21">
        <v>41</v>
      </c>
      <c r="AL9" s="21">
        <v>26</v>
      </c>
      <c r="AM9" s="22">
        <f>AL9/AK9</f>
        <v>0.63414634146341464</v>
      </c>
      <c r="AN9" s="60">
        <v>41</v>
      </c>
      <c r="AO9" s="87">
        <v>41</v>
      </c>
      <c r="AP9" s="62">
        <v>41</v>
      </c>
      <c r="AQ9" s="61">
        <f t="shared" ref="AQ9:AQ72" si="5">AP9/AN9</f>
        <v>1</v>
      </c>
      <c r="AR9" s="185"/>
      <c r="AS9" s="185"/>
      <c r="AT9" s="83">
        <v>41</v>
      </c>
      <c r="AU9" s="80">
        <f t="shared" ref="AU9:AU72" si="6">AT9/AO9</f>
        <v>1</v>
      </c>
      <c r="AV9" s="21">
        <v>28</v>
      </c>
      <c r="AW9" s="21">
        <v>11</v>
      </c>
      <c r="AX9" s="22">
        <f>AW9/AV9</f>
        <v>0.39285714285714285</v>
      </c>
      <c r="AY9" s="60">
        <v>28</v>
      </c>
      <c r="AZ9" s="87">
        <v>28</v>
      </c>
      <c r="BA9" s="62">
        <v>28</v>
      </c>
      <c r="BB9" s="61">
        <f t="shared" ref="BB9:BB72" si="7">BA9/AY9</f>
        <v>1</v>
      </c>
      <c r="BC9" s="185"/>
      <c r="BD9" s="185"/>
      <c r="BE9" s="83">
        <v>28</v>
      </c>
      <c r="BF9" s="80">
        <f t="shared" ref="BF9:BF72" si="8">BE9/AZ9</f>
        <v>1</v>
      </c>
      <c r="BG9" s="21">
        <v>0</v>
      </c>
      <c r="BH9" s="21">
        <v>0</v>
      </c>
      <c r="BI9" s="22">
        <v>0</v>
      </c>
      <c r="BJ9" s="60">
        <v>0</v>
      </c>
      <c r="BK9" s="87">
        <v>0</v>
      </c>
      <c r="BL9" s="62">
        <v>0</v>
      </c>
      <c r="BM9" s="61">
        <v>0</v>
      </c>
      <c r="BN9" s="185"/>
      <c r="BO9" s="185"/>
      <c r="BP9" s="83">
        <v>0</v>
      </c>
      <c r="BQ9" s="80">
        <v>0</v>
      </c>
      <c r="BR9" s="21">
        <v>7</v>
      </c>
      <c r="BS9" s="21">
        <v>6</v>
      </c>
      <c r="BT9" s="22">
        <f>BS9/BR9</f>
        <v>0.8571428571428571</v>
      </c>
      <c r="BU9" s="60">
        <v>7</v>
      </c>
      <c r="BV9" s="87">
        <v>7</v>
      </c>
      <c r="BW9" s="62">
        <v>7</v>
      </c>
      <c r="BX9" s="61">
        <f t="shared" ref="BX9:BX72" si="9">BW9/BU9</f>
        <v>1</v>
      </c>
      <c r="BY9" s="185"/>
      <c r="BZ9" s="185"/>
      <c r="CA9" s="83">
        <v>7</v>
      </c>
      <c r="CB9" s="80">
        <f t="shared" ref="CB9:CB72" si="10">CA9/BV9</f>
        <v>1</v>
      </c>
      <c r="CC9" s="12"/>
      <c r="CD9" s="12"/>
    </row>
    <row r="10" spans="1:82" ht="30">
      <c r="A10" s="15">
        <v>3</v>
      </c>
      <c r="B10" s="92" t="s">
        <v>9</v>
      </c>
      <c r="C10" s="14"/>
      <c r="D10" s="21">
        <f>O10+Z10+AK10+AV10+BG10+BR10</f>
        <v>682</v>
      </c>
      <c r="E10" s="21">
        <f>P10+AA10+AL10+AW10+BH10+BS10</f>
        <v>559</v>
      </c>
      <c r="F10" s="22">
        <f>E10/D10</f>
        <v>0.81964809384164228</v>
      </c>
      <c r="G10" s="62">
        <f t="shared" ref="G10:G69" si="11">R10+AC10+AN10+AY10+BJ10+BU10</f>
        <v>682</v>
      </c>
      <c r="H10" s="83">
        <f t="shared" ref="H10:H69" si="12">S10+AD10+AO10+AZ10+BK10+BV10</f>
        <v>682</v>
      </c>
      <c r="I10" s="60">
        <f>C10+T10+AE10+AP10+BA10++BL10+BW10</f>
        <v>583</v>
      </c>
      <c r="J10" s="59">
        <f t="shared" si="0"/>
        <v>0.85483870967741937</v>
      </c>
      <c r="K10" s="182"/>
      <c r="L10" s="182"/>
      <c r="M10" s="49">
        <f>X10+AI10+AT10+BE10+BP10+CA10</f>
        <v>587</v>
      </c>
      <c r="N10" s="16">
        <f>M10/H10</f>
        <v>0.86070381231671556</v>
      </c>
      <c r="O10" s="21">
        <v>137</v>
      </c>
      <c r="P10" s="21">
        <v>135</v>
      </c>
      <c r="Q10" s="22">
        <f>P10/O10</f>
        <v>0.98540145985401462</v>
      </c>
      <c r="R10" s="60">
        <v>137</v>
      </c>
      <c r="S10" s="87">
        <v>137</v>
      </c>
      <c r="T10" s="62">
        <v>135</v>
      </c>
      <c r="U10" s="61">
        <f t="shared" si="1"/>
        <v>0.98540145985401462</v>
      </c>
      <c r="V10" s="185"/>
      <c r="W10" s="185"/>
      <c r="X10" s="83">
        <v>135</v>
      </c>
      <c r="Y10" s="80">
        <f t="shared" si="2"/>
        <v>0.98540145985401462</v>
      </c>
      <c r="Z10" s="21">
        <v>69</v>
      </c>
      <c r="AA10" s="21">
        <v>37</v>
      </c>
      <c r="AB10" s="22">
        <f>AA10/Z10</f>
        <v>0.53623188405797106</v>
      </c>
      <c r="AC10" s="60">
        <v>69</v>
      </c>
      <c r="AD10" s="87">
        <v>69</v>
      </c>
      <c r="AE10" s="62">
        <v>43</v>
      </c>
      <c r="AF10" s="61">
        <f t="shared" si="3"/>
        <v>0.62318840579710144</v>
      </c>
      <c r="AG10" s="185"/>
      <c r="AH10" s="185"/>
      <c r="AI10" s="83">
        <v>44</v>
      </c>
      <c r="AJ10" s="80">
        <f t="shared" si="4"/>
        <v>0.6376811594202898</v>
      </c>
      <c r="AK10" s="21">
        <v>145</v>
      </c>
      <c r="AL10" s="21">
        <v>116</v>
      </c>
      <c r="AM10" s="22">
        <f>AL10/AK10</f>
        <v>0.8</v>
      </c>
      <c r="AN10" s="60">
        <v>145</v>
      </c>
      <c r="AO10" s="87">
        <v>145</v>
      </c>
      <c r="AP10" s="62">
        <v>122</v>
      </c>
      <c r="AQ10" s="61">
        <f t="shared" si="5"/>
        <v>0.8413793103448276</v>
      </c>
      <c r="AR10" s="185"/>
      <c r="AS10" s="185"/>
      <c r="AT10" s="83">
        <v>123</v>
      </c>
      <c r="AU10" s="80">
        <f t="shared" si="6"/>
        <v>0.84827586206896555</v>
      </c>
      <c r="AV10" s="21">
        <v>162</v>
      </c>
      <c r="AW10" s="21">
        <v>131</v>
      </c>
      <c r="AX10" s="22">
        <f>AW10/AV10</f>
        <v>0.80864197530864201</v>
      </c>
      <c r="AY10" s="60">
        <v>162</v>
      </c>
      <c r="AZ10" s="87">
        <v>162</v>
      </c>
      <c r="BA10" s="62">
        <v>135</v>
      </c>
      <c r="BB10" s="61">
        <f t="shared" si="7"/>
        <v>0.83333333333333337</v>
      </c>
      <c r="BC10" s="185"/>
      <c r="BD10" s="185"/>
      <c r="BE10" s="83">
        <v>136</v>
      </c>
      <c r="BF10" s="80">
        <f t="shared" si="8"/>
        <v>0.83950617283950613</v>
      </c>
      <c r="BG10" s="21">
        <v>60</v>
      </c>
      <c r="BH10" s="21">
        <v>40</v>
      </c>
      <c r="BI10" s="22">
        <f>BH10/BG10</f>
        <v>0.66666666666666663</v>
      </c>
      <c r="BJ10" s="60">
        <v>60</v>
      </c>
      <c r="BK10" s="87">
        <v>60</v>
      </c>
      <c r="BL10" s="62">
        <v>48</v>
      </c>
      <c r="BM10" s="61">
        <f t="shared" ref="BM10:BM70" si="13">BL10/BJ10</f>
        <v>0.8</v>
      </c>
      <c r="BN10" s="185"/>
      <c r="BO10" s="185"/>
      <c r="BP10" s="83">
        <v>49</v>
      </c>
      <c r="BQ10" s="80">
        <f t="shared" ref="BQ10:BQ70" si="14">BP10/BK10</f>
        <v>0.81666666666666665</v>
      </c>
      <c r="BR10" s="21">
        <v>109</v>
      </c>
      <c r="BS10" s="21">
        <v>100</v>
      </c>
      <c r="BT10" s="22">
        <f>BS10/BR10</f>
        <v>0.91743119266055051</v>
      </c>
      <c r="BU10" s="60">
        <v>109</v>
      </c>
      <c r="BV10" s="87">
        <v>109</v>
      </c>
      <c r="BW10" s="62">
        <v>100</v>
      </c>
      <c r="BX10" s="61">
        <f t="shared" si="9"/>
        <v>0.91743119266055051</v>
      </c>
      <c r="BY10" s="185"/>
      <c r="BZ10" s="185"/>
      <c r="CA10" s="83">
        <v>100</v>
      </c>
      <c r="CB10" s="80">
        <f t="shared" si="10"/>
        <v>0.91743119266055051</v>
      </c>
      <c r="CC10" s="12"/>
      <c r="CD10" s="12"/>
    </row>
    <row r="11" spans="1:82">
      <c r="A11" s="15">
        <v>4</v>
      </c>
      <c r="B11" s="92" t="s">
        <v>10</v>
      </c>
      <c r="C11" s="14"/>
      <c r="D11" s="21">
        <f>O11+Z11+AK11+AV11+BG11+BR11</f>
        <v>117</v>
      </c>
      <c r="E11" s="21">
        <f>P11+AA11+AL11+AW11+BH11+BS11</f>
        <v>64</v>
      </c>
      <c r="F11" s="22">
        <f>E11/D11</f>
        <v>0.54700854700854706</v>
      </c>
      <c r="G11" s="62">
        <f t="shared" si="11"/>
        <v>117</v>
      </c>
      <c r="H11" s="83">
        <f t="shared" si="12"/>
        <v>117</v>
      </c>
      <c r="I11" s="60">
        <f>T11+AE11+AP11+BA11++BL11+BW11</f>
        <v>83</v>
      </c>
      <c r="J11" s="59">
        <f t="shared" si="0"/>
        <v>0.70940170940170943</v>
      </c>
      <c r="K11" s="182"/>
      <c r="L11" s="182"/>
      <c r="M11" s="49">
        <f>X11+AI11+AT11+BE11+BP11+CA11</f>
        <v>91</v>
      </c>
      <c r="N11" s="16">
        <f>M11/H11</f>
        <v>0.77777777777777779</v>
      </c>
      <c r="O11" s="21">
        <v>32</v>
      </c>
      <c r="P11" s="21">
        <v>22</v>
      </c>
      <c r="Q11" s="22">
        <f>P11/O11</f>
        <v>0.6875</v>
      </c>
      <c r="R11" s="60">
        <v>32</v>
      </c>
      <c r="S11" s="87">
        <v>32</v>
      </c>
      <c r="T11" s="62">
        <v>26</v>
      </c>
      <c r="U11" s="61">
        <f t="shared" si="1"/>
        <v>0.8125</v>
      </c>
      <c r="V11" s="185"/>
      <c r="W11" s="185"/>
      <c r="X11" s="83">
        <v>31</v>
      </c>
      <c r="Y11" s="80">
        <f t="shared" si="2"/>
        <v>0.96875</v>
      </c>
      <c r="Z11" s="21">
        <v>14</v>
      </c>
      <c r="AA11" s="21">
        <v>9</v>
      </c>
      <c r="AB11" s="22">
        <f>AA11/Z11</f>
        <v>0.6428571428571429</v>
      </c>
      <c r="AC11" s="60">
        <v>14</v>
      </c>
      <c r="AD11" s="87">
        <v>14</v>
      </c>
      <c r="AE11" s="62">
        <v>13</v>
      </c>
      <c r="AF11" s="61">
        <f t="shared" si="3"/>
        <v>0.9285714285714286</v>
      </c>
      <c r="AG11" s="185"/>
      <c r="AH11" s="185"/>
      <c r="AI11" s="83">
        <v>13</v>
      </c>
      <c r="AJ11" s="80">
        <f t="shared" si="4"/>
        <v>0.9285714285714286</v>
      </c>
      <c r="AK11" s="21">
        <v>25</v>
      </c>
      <c r="AL11" s="21">
        <v>7</v>
      </c>
      <c r="AM11" s="22">
        <f>AL11/AK11</f>
        <v>0.28000000000000003</v>
      </c>
      <c r="AN11" s="60">
        <v>25</v>
      </c>
      <c r="AO11" s="87">
        <v>25</v>
      </c>
      <c r="AP11" s="62">
        <v>11</v>
      </c>
      <c r="AQ11" s="61">
        <f t="shared" si="5"/>
        <v>0.44</v>
      </c>
      <c r="AR11" s="185"/>
      <c r="AS11" s="185"/>
      <c r="AT11" s="83">
        <v>11</v>
      </c>
      <c r="AU11" s="80">
        <f t="shared" si="6"/>
        <v>0.44</v>
      </c>
      <c r="AV11" s="21">
        <v>20</v>
      </c>
      <c r="AW11" s="21">
        <v>10</v>
      </c>
      <c r="AX11" s="22">
        <f>AW11/AV11</f>
        <v>0.5</v>
      </c>
      <c r="AY11" s="60">
        <v>20</v>
      </c>
      <c r="AZ11" s="87">
        <v>20</v>
      </c>
      <c r="BA11" s="62">
        <v>14</v>
      </c>
      <c r="BB11" s="61">
        <f t="shared" si="7"/>
        <v>0.7</v>
      </c>
      <c r="BC11" s="185"/>
      <c r="BD11" s="185"/>
      <c r="BE11" s="83">
        <v>15</v>
      </c>
      <c r="BF11" s="80">
        <f t="shared" si="8"/>
        <v>0.75</v>
      </c>
      <c r="BG11" s="21">
        <v>12</v>
      </c>
      <c r="BH11" s="21">
        <v>9</v>
      </c>
      <c r="BI11" s="22">
        <f>BH11/BG11</f>
        <v>0.75</v>
      </c>
      <c r="BJ11" s="60">
        <v>12</v>
      </c>
      <c r="BK11" s="87">
        <v>12</v>
      </c>
      <c r="BL11" s="62">
        <v>11</v>
      </c>
      <c r="BM11" s="61">
        <f t="shared" si="13"/>
        <v>0.91666666666666663</v>
      </c>
      <c r="BN11" s="185"/>
      <c r="BO11" s="185"/>
      <c r="BP11" s="83">
        <v>12</v>
      </c>
      <c r="BQ11" s="80">
        <f t="shared" si="14"/>
        <v>1</v>
      </c>
      <c r="BR11" s="21">
        <v>14</v>
      </c>
      <c r="BS11" s="21">
        <v>7</v>
      </c>
      <c r="BT11" s="22">
        <f>BS11/BR11</f>
        <v>0.5</v>
      </c>
      <c r="BU11" s="60">
        <v>14</v>
      </c>
      <c r="BV11" s="87">
        <v>14</v>
      </c>
      <c r="BW11" s="62">
        <v>8</v>
      </c>
      <c r="BX11" s="61">
        <f t="shared" si="9"/>
        <v>0.5714285714285714</v>
      </c>
      <c r="BY11" s="185"/>
      <c r="BZ11" s="185"/>
      <c r="CA11" s="83">
        <v>9</v>
      </c>
      <c r="CB11" s="80">
        <f t="shared" si="10"/>
        <v>0.6428571428571429</v>
      </c>
      <c r="CC11" s="12"/>
      <c r="CD11" s="12"/>
    </row>
    <row r="12" spans="1:82" ht="200.25" customHeight="1">
      <c r="A12" s="15">
        <v>5</v>
      </c>
      <c r="B12" s="92" t="s">
        <v>11</v>
      </c>
      <c r="C12" s="14" t="s">
        <v>138</v>
      </c>
      <c r="D12" s="21">
        <v>556</v>
      </c>
      <c r="E12" s="21">
        <v>427</v>
      </c>
      <c r="F12" s="22">
        <v>0.76798561151079137</v>
      </c>
      <c r="G12" s="62">
        <f t="shared" si="11"/>
        <v>321</v>
      </c>
      <c r="H12" s="83">
        <f t="shared" si="12"/>
        <v>321</v>
      </c>
      <c r="I12" s="60">
        <f>T12+AE12+AP12+BA12++BL12+BW12</f>
        <v>244</v>
      </c>
      <c r="J12" s="59">
        <f t="shared" si="0"/>
        <v>0.76012461059190028</v>
      </c>
      <c r="K12" s="182"/>
      <c r="L12" s="182"/>
      <c r="M12" s="49">
        <f>X12+AI12+AT12+BE12+BP12+CA12</f>
        <v>246</v>
      </c>
      <c r="N12" s="16">
        <f>M12/H12</f>
        <v>0.76635514018691586</v>
      </c>
      <c r="O12" s="21">
        <v>52</v>
      </c>
      <c r="P12" s="21">
        <v>46</v>
      </c>
      <c r="Q12" s="22">
        <v>0.88461538461538458</v>
      </c>
      <c r="R12" s="60">
        <v>56</v>
      </c>
      <c r="S12" s="87">
        <v>56</v>
      </c>
      <c r="T12" s="62">
        <v>55</v>
      </c>
      <c r="U12" s="61">
        <f t="shared" si="1"/>
        <v>0.9821428571428571</v>
      </c>
      <c r="V12" s="185"/>
      <c r="W12" s="185"/>
      <c r="X12" s="83">
        <v>56</v>
      </c>
      <c r="Y12" s="80">
        <f t="shared" si="2"/>
        <v>1</v>
      </c>
      <c r="Z12" s="21">
        <v>31</v>
      </c>
      <c r="AA12" s="21">
        <v>25</v>
      </c>
      <c r="AB12" s="22">
        <v>0.80645161290322576</v>
      </c>
      <c r="AC12" s="60">
        <v>35</v>
      </c>
      <c r="AD12" s="87">
        <v>35</v>
      </c>
      <c r="AE12" s="62">
        <v>34</v>
      </c>
      <c r="AF12" s="61">
        <f t="shared" si="3"/>
        <v>0.97142857142857142</v>
      </c>
      <c r="AG12" s="185"/>
      <c r="AH12" s="185"/>
      <c r="AI12" s="83">
        <v>35</v>
      </c>
      <c r="AJ12" s="80">
        <f t="shared" si="4"/>
        <v>1</v>
      </c>
      <c r="AK12" s="21">
        <v>88</v>
      </c>
      <c r="AL12" s="21">
        <v>33</v>
      </c>
      <c r="AM12" s="22">
        <v>0.375</v>
      </c>
      <c r="AN12" s="60">
        <v>88</v>
      </c>
      <c r="AO12" s="87">
        <v>88</v>
      </c>
      <c r="AP12" s="62">
        <v>43</v>
      </c>
      <c r="AQ12" s="61">
        <f t="shared" si="5"/>
        <v>0.48863636363636365</v>
      </c>
      <c r="AR12" s="185"/>
      <c r="AS12" s="185"/>
      <c r="AT12" s="83">
        <v>43</v>
      </c>
      <c r="AU12" s="80">
        <f t="shared" si="6"/>
        <v>0.48863636363636365</v>
      </c>
      <c r="AV12" s="21">
        <v>72</v>
      </c>
      <c r="AW12" s="21">
        <v>56</v>
      </c>
      <c r="AX12" s="22">
        <v>0.77777777777777779</v>
      </c>
      <c r="AY12" s="60">
        <v>72</v>
      </c>
      <c r="AZ12" s="87">
        <v>72</v>
      </c>
      <c r="BA12" s="62">
        <v>64</v>
      </c>
      <c r="BB12" s="61">
        <f t="shared" si="7"/>
        <v>0.88888888888888884</v>
      </c>
      <c r="BC12" s="185"/>
      <c r="BD12" s="185"/>
      <c r="BE12" s="83">
        <v>64</v>
      </c>
      <c r="BF12" s="80">
        <f t="shared" si="8"/>
        <v>0.88888888888888884</v>
      </c>
      <c r="BG12" s="21">
        <v>5</v>
      </c>
      <c r="BH12" s="21">
        <v>2</v>
      </c>
      <c r="BI12" s="22">
        <v>0.4</v>
      </c>
      <c r="BJ12" s="60">
        <v>5</v>
      </c>
      <c r="BK12" s="87">
        <v>5</v>
      </c>
      <c r="BL12" s="62">
        <v>4</v>
      </c>
      <c r="BM12" s="61">
        <f t="shared" si="13"/>
        <v>0.8</v>
      </c>
      <c r="BN12" s="185"/>
      <c r="BO12" s="185"/>
      <c r="BP12" s="83">
        <v>4</v>
      </c>
      <c r="BQ12" s="80">
        <f t="shared" si="14"/>
        <v>0.8</v>
      </c>
      <c r="BR12" s="21">
        <v>73</v>
      </c>
      <c r="BS12" s="21">
        <v>33</v>
      </c>
      <c r="BT12" s="22">
        <v>0.45205479452054792</v>
      </c>
      <c r="BU12" s="60">
        <v>65</v>
      </c>
      <c r="BV12" s="87">
        <v>65</v>
      </c>
      <c r="BW12" s="62">
        <v>44</v>
      </c>
      <c r="BX12" s="61">
        <f t="shared" si="9"/>
        <v>0.67692307692307696</v>
      </c>
      <c r="BY12" s="185"/>
      <c r="BZ12" s="185"/>
      <c r="CA12" s="83">
        <v>44</v>
      </c>
      <c r="CB12" s="80">
        <f t="shared" si="10"/>
        <v>0.67692307692307696</v>
      </c>
      <c r="CC12" s="115" t="s">
        <v>241</v>
      </c>
      <c r="CD12" s="171"/>
    </row>
    <row r="13" spans="1:82" ht="47.25" customHeight="1">
      <c r="A13" s="15">
        <v>6</v>
      </c>
      <c r="B13" s="92" t="s">
        <v>12</v>
      </c>
      <c r="C13" s="14" t="s">
        <v>244</v>
      </c>
      <c r="D13" s="21">
        <v>72</v>
      </c>
      <c r="E13" s="21">
        <v>40</v>
      </c>
      <c r="F13" s="22">
        <v>0.55555555555555558</v>
      </c>
      <c r="G13" s="62">
        <f>R13+AC13+AN13+AY13+BJ13+BU13+10</f>
        <v>88</v>
      </c>
      <c r="H13" s="83">
        <f>S13+AD13+AO13+AZ13+BK13+BV13+10</f>
        <v>88</v>
      </c>
      <c r="I13" s="60">
        <f>T13+AE13+AP13+BA13++BL13+BW13+2</f>
        <v>56</v>
      </c>
      <c r="J13" s="59">
        <f t="shared" si="0"/>
        <v>0.63636363636363635</v>
      </c>
      <c r="K13" s="182"/>
      <c r="L13" s="182"/>
      <c r="M13" s="49">
        <f>X13+AI13+AT13+BE13+BP13+CA13</f>
        <v>70</v>
      </c>
      <c r="N13" s="16">
        <f>M13/H13</f>
        <v>0.79545454545454541</v>
      </c>
      <c r="O13" s="21">
        <v>17</v>
      </c>
      <c r="P13" s="21">
        <v>14</v>
      </c>
      <c r="Q13" s="22">
        <v>0.82352941176470584</v>
      </c>
      <c r="R13" s="60">
        <v>17</v>
      </c>
      <c r="S13" s="87">
        <v>17</v>
      </c>
      <c r="T13" s="62">
        <v>16</v>
      </c>
      <c r="U13" s="61">
        <f t="shared" si="1"/>
        <v>0.94117647058823528</v>
      </c>
      <c r="V13" s="185"/>
      <c r="W13" s="185"/>
      <c r="X13" s="83">
        <v>16</v>
      </c>
      <c r="Y13" s="80">
        <f t="shared" si="2"/>
        <v>0.94117647058823528</v>
      </c>
      <c r="Z13" s="21"/>
      <c r="AA13" s="21"/>
      <c r="AB13" s="22"/>
      <c r="AC13" s="60"/>
      <c r="AD13" s="87"/>
      <c r="AE13" s="62"/>
      <c r="AF13" s="61" t="e">
        <f t="shared" si="3"/>
        <v>#DIV/0!</v>
      </c>
      <c r="AG13" s="185"/>
      <c r="AH13" s="185"/>
      <c r="AI13" s="83"/>
      <c r="AJ13" s="80" t="e">
        <f t="shared" si="4"/>
        <v>#DIV/0!</v>
      </c>
      <c r="AK13" s="21">
        <v>15</v>
      </c>
      <c r="AL13" s="21">
        <v>9</v>
      </c>
      <c r="AM13" s="22">
        <v>0.6</v>
      </c>
      <c r="AN13" s="60">
        <v>20</v>
      </c>
      <c r="AO13" s="87">
        <v>20</v>
      </c>
      <c r="AP13" s="62">
        <v>16</v>
      </c>
      <c r="AQ13" s="61">
        <f t="shared" si="5"/>
        <v>0.8</v>
      </c>
      <c r="AR13" s="185"/>
      <c r="AS13" s="185"/>
      <c r="AT13" s="83">
        <v>19</v>
      </c>
      <c r="AU13" s="80">
        <f t="shared" si="6"/>
        <v>0.95</v>
      </c>
      <c r="AV13" s="21">
        <v>14</v>
      </c>
      <c r="AW13" s="21">
        <v>7</v>
      </c>
      <c r="AX13" s="22">
        <v>0.5</v>
      </c>
      <c r="AY13" s="60">
        <v>20</v>
      </c>
      <c r="AZ13" s="87">
        <v>20</v>
      </c>
      <c r="BA13" s="62">
        <v>10</v>
      </c>
      <c r="BB13" s="61">
        <f t="shared" si="7"/>
        <v>0.5</v>
      </c>
      <c r="BC13" s="185"/>
      <c r="BD13" s="185"/>
      <c r="BE13" s="83">
        <v>14</v>
      </c>
      <c r="BF13" s="80">
        <f t="shared" si="8"/>
        <v>0.7</v>
      </c>
      <c r="BG13" s="21"/>
      <c r="BH13" s="21"/>
      <c r="BI13" s="22"/>
      <c r="BJ13" s="60">
        <v>5</v>
      </c>
      <c r="BK13" s="87">
        <v>5</v>
      </c>
      <c r="BL13" s="62">
        <v>0</v>
      </c>
      <c r="BM13" s="61">
        <f t="shared" si="13"/>
        <v>0</v>
      </c>
      <c r="BN13" s="185"/>
      <c r="BO13" s="185"/>
      <c r="BP13" s="83">
        <v>5</v>
      </c>
      <c r="BQ13" s="80">
        <f t="shared" si="14"/>
        <v>1</v>
      </c>
      <c r="BR13" s="21">
        <v>16</v>
      </c>
      <c r="BS13" s="21">
        <v>8</v>
      </c>
      <c r="BT13" s="22">
        <v>0.5</v>
      </c>
      <c r="BU13" s="60">
        <v>16</v>
      </c>
      <c r="BV13" s="87">
        <v>16</v>
      </c>
      <c r="BW13" s="62">
        <v>12</v>
      </c>
      <c r="BX13" s="61">
        <f t="shared" si="9"/>
        <v>0.75</v>
      </c>
      <c r="BY13" s="185"/>
      <c r="BZ13" s="185"/>
      <c r="CA13" s="83">
        <v>16</v>
      </c>
      <c r="CB13" s="80">
        <f t="shared" si="10"/>
        <v>1</v>
      </c>
      <c r="CC13" s="126" t="s">
        <v>243</v>
      </c>
      <c r="CD13" s="127"/>
    </row>
    <row r="14" spans="1:82" ht="45">
      <c r="A14" s="15">
        <v>7</v>
      </c>
      <c r="B14" s="92" t="s">
        <v>13</v>
      </c>
      <c r="C14" s="14" t="s">
        <v>155</v>
      </c>
      <c r="D14" s="21">
        <v>365</v>
      </c>
      <c r="E14" s="21">
        <v>198</v>
      </c>
      <c r="F14" s="22">
        <v>0.54246575342465753</v>
      </c>
      <c r="G14" s="62">
        <f>R14+AC14+AN14+AY14+BJ14+BU14+24</f>
        <v>365</v>
      </c>
      <c r="H14" s="83">
        <f>S14+AD14+AO14+AZ14+BK14+BV14+24</f>
        <v>365</v>
      </c>
      <c r="I14" s="60">
        <f>T14+AE14+AP14+BA14++BL14+BW14+24</f>
        <v>227</v>
      </c>
      <c r="J14" s="59">
        <f t="shared" si="0"/>
        <v>0.62191780821917808</v>
      </c>
      <c r="K14" s="182"/>
      <c r="L14" s="182"/>
      <c r="M14" s="49">
        <f>X14+AI14+AT14+BE14+BP14+CA14+24</f>
        <v>235</v>
      </c>
      <c r="N14" s="16">
        <f>M14/H14</f>
        <v>0.64383561643835618</v>
      </c>
      <c r="O14" s="21">
        <v>35</v>
      </c>
      <c r="P14" s="21">
        <v>31</v>
      </c>
      <c r="Q14" s="22">
        <v>0.88571428571428568</v>
      </c>
      <c r="R14" s="60">
        <v>35</v>
      </c>
      <c r="S14" s="87">
        <v>35</v>
      </c>
      <c r="T14" s="62">
        <v>31</v>
      </c>
      <c r="U14" s="61">
        <f t="shared" si="1"/>
        <v>0.88571428571428568</v>
      </c>
      <c r="V14" s="185"/>
      <c r="W14" s="185"/>
      <c r="X14" s="83">
        <v>34</v>
      </c>
      <c r="Y14" s="80">
        <f t="shared" si="2"/>
        <v>0.97142857142857142</v>
      </c>
      <c r="Z14" s="21"/>
      <c r="AA14" s="21"/>
      <c r="AB14" s="22"/>
      <c r="AC14" s="60"/>
      <c r="AD14" s="87"/>
      <c r="AE14" s="62"/>
      <c r="AF14" s="61" t="e">
        <f t="shared" si="3"/>
        <v>#DIV/0!</v>
      </c>
      <c r="AG14" s="185"/>
      <c r="AH14" s="185"/>
      <c r="AI14" s="83"/>
      <c r="AJ14" s="80" t="e">
        <f t="shared" si="4"/>
        <v>#DIV/0!</v>
      </c>
      <c r="AK14" s="21">
        <v>120</v>
      </c>
      <c r="AL14" s="21">
        <v>66</v>
      </c>
      <c r="AM14" s="22">
        <v>0.55000000000000004</v>
      </c>
      <c r="AN14" s="60">
        <v>120</v>
      </c>
      <c r="AO14" s="87">
        <v>120</v>
      </c>
      <c r="AP14" s="62">
        <v>78</v>
      </c>
      <c r="AQ14" s="61">
        <f t="shared" si="5"/>
        <v>0.65</v>
      </c>
      <c r="AR14" s="185"/>
      <c r="AS14" s="185"/>
      <c r="AT14" s="83">
        <v>81</v>
      </c>
      <c r="AU14" s="80">
        <f t="shared" si="6"/>
        <v>0.67500000000000004</v>
      </c>
      <c r="AV14" s="21">
        <v>150</v>
      </c>
      <c r="AW14" s="21">
        <v>62</v>
      </c>
      <c r="AX14" s="22">
        <v>0.41333333333333333</v>
      </c>
      <c r="AY14" s="60">
        <v>150</v>
      </c>
      <c r="AZ14" s="87">
        <v>150</v>
      </c>
      <c r="BA14" s="62">
        <v>68</v>
      </c>
      <c r="BB14" s="61">
        <f t="shared" si="7"/>
        <v>0.45333333333333331</v>
      </c>
      <c r="BC14" s="185"/>
      <c r="BD14" s="185"/>
      <c r="BE14" s="83">
        <v>69</v>
      </c>
      <c r="BF14" s="80">
        <f t="shared" si="8"/>
        <v>0.46</v>
      </c>
      <c r="BG14" s="21">
        <v>14</v>
      </c>
      <c r="BH14" s="21">
        <v>9</v>
      </c>
      <c r="BI14" s="22">
        <v>0.6428571428571429</v>
      </c>
      <c r="BJ14" s="60">
        <v>14</v>
      </c>
      <c r="BK14" s="87">
        <v>14</v>
      </c>
      <c r="BL14" s="62">
        <v>11</v>
      </c>
      <c r="BM14" s="61">
        <f t="shared" si="13"/>
        <v>0.7857142857142857</v>
      </c>
      <c r="BN14" s="185"/>
      <c r="BO14" s="185"/>
      <c r="BP14" s="83">
        <v>11</v>
      </c>
      <c r="BQ14" s="80">
        <f t="shared" si="14"/>
        <v>0.7857142857142857</v>
      </c>
      <c r="BR14" s="21">
        <v>22</v>
      </c>
      <c r="BS14" s="21">
        <v>12</v>
      </c>
      <c r="BT14" s="22">
        <v>0.54545454545454541</v>
      </c>
      <c r="BU14" s="60">
        <v>22</v>
      </c>
      <c r="BV14" s="87">
        <v>22</v>
      </c>
      <c r="BW14" s="62">
        <v>15</v>
      </c>
      <c r="BX14" s="61">
        <f t="shared" si="9"/>
        <v>0.68181818181818177</v>
      </c>
      <c r="BY14" s="185"/>
      <c r="BZ14" s="185"/>
      <c r="CA14" s="83">
        <v>16</v>
      </c>
      <c r="CB14" s="80">
        <f t="shared" si="10"/>
        <v>0.72727272727272729</v>
      </c>
      <c r="CC14" s="12"/>
      <c r="CD14" s="12"/>
    </row>
    <row r="15" spans="1:82" ht="132" customHeight="1">
      <c r="A15" s="15">
        <v>8</v>
      </c>
      <c r="B15" s="92" t="s">
        <v>14</v>
      </c>
      <c r="C15" s="14" t="s">
        <v>148</v>
      </c>
      <c r="D15" s="21">
        <v>134</v>
      </c>
      <c r="E15" s="21">
        <v>28</v>
      </c>
      <c r="F15" s="23">
        <v>0.20895522388059701</v>
      </c>
      <c r="G15" s="62">
        <f>R15+AC15+AN15+AY15+BJ15+BU15+1</f>
        <v>134</v>
      </c>
      <c r="H15" s="83">
        <f>S15+AD15+AO15+AZ15+BK15+BV15+7</f>
        <v>161</v>
      </c>
      <c r="I15" s="60">
        <f>T15+AE15+AP15+BA15++BL15+BW15+1</f>
        <v>75</v>
      </c>
      <c r="J15" s="59">
        <f t="shared" si="0"/>
        <v>0.55970149253731338</v>
      </c>
      <c r="K15" s="182"/>
      <c r="L15" s="182"/>
      <c r="M15" s="49">
        <f>X15+AI15+AT15+BE15+BP15+CA15+1</f>
        <v>87</v>
      </c>
      <c r="N15" s="16">
        <f>M15/H15</f>
        <v>0.54037267080745344</v>
      </c>
      <c r="O15" s="21">
        <v>35</v>
      </c>
      <c r="P15" s="21">
        <v>10</v>
      </c>
      <c r="Q15" s="23">
        <v>0.2857142857142857</v>
      </c>
      <c r="R15" s="62">
        <v>35</v>
      </c>
      <c r="S15" s="83">
        <v>36</v>
      </c>
      <c r="T15" s="62">
        <v>21</v>
      </c>
      <c r="U15" s="61">
        <f t="shared" si="1"/>
        <v>0.6</v>
      </c>
      <c r="V15" s="185"/>
      <c r="W15" s="185"/>
      <c r="X15" s="83">
        <v>23</v>
      </c>
      <c r="Y15" s="80">
        <f t="shared" si="2"/>
        <v>0.63888888888888884</v>
      </c>
      <c r="Z15" s="21">
        <v>14</v>
      </c>
      <c r="AA15" s="21">
        <v>6</v>
      </c>
      <c r="AB15" s="23">
        <v>0.42857142857142855</v>
      </c>
      <c r="AC15" s="62">
        <v>14</v>
      </c>
      <c r="AD15" s="83">
        <v>14</v>
      </c>
      <c r="AE15" s="62">
        <v>7</v>
      </c>
      <c r="AF15" s="61">
        <f t="shared" si="3"/>
        <v>0.5</v>
      </c>
      <c r="AG15" s="185"/>
      <c r="AH15" s="185"/>
      <c r="AI15" s="83">
        <v>9</v>
      </c>
      <c r="AJ15" s="80">
        <f t="shared" si="4"/>
        <v>0.6428571428571429</v>
      </c>
      <c r="AK15" s="21">
        <v>63</v>
      </c>
      <c r="AL15" s="21">
        <v>5</v>
      </c>
      <c r="AM15" s="23">
        <v>7.9365079365079361E-2</v>
      </c>
      <c r="AN15" s="62">
        <v>63</v>
      </c>
      <c r="AO15" s="83">
        <v>79</v>
      </c>
      <c r="AP15" s="62">
        <v>34</v>
      </c>
      <c r="AQ15" s="61">
        <f t="shared" si="5"/>
        <v>0.53968253968253965</v>
      </c>
      <c r="AR15" s="185"/>
      <c r="AS15" s="185"/>
      <c r="AT15" s="83">
        <v>41</v>
      </c>
      <c r="AU15" s="80">
        <f t="shared" si="6"/>
        <v>0.51898734177215189</v>
      </c>
      <c r="AV15" s="21">
        <v>11</v>
      </c>
      <c r="AW15" s="21">
        <v>2</v>
      </c>
      <c r="AX15" s="23">
        <v>0.18181818181818182</v>
      </c>
      <c r="AY15" s="62">
        <v>11</v>
      </c>
      <c r="AZ15" s="83">
        <v>11</v>
      </c>
      <c r="BA15" s="62">
        <v>5</v>
      </c>
      <c r="BB15" s="61">
        <f t="shared" si="7"/>
        <v>0.45454545454545453</v>
      </c>
      <c r="BC15" s="185"/>
      <c r="BD15" s="185"/>
      <c r="BE15" s="83">
        <v>5</v>
      </c>
      <c r="BF15" s="80">
        <f t="shared" si="8"/>
        <v>0.45454545454545453</v>
      </c>
      <c r="BG15" s="21">
        <v>3</v>
      </c>
      <c r="BH15" s="21">
        <v>2</v>
      </c>
      <c r="BI15" s="23">
        <v>0.66666666666666663</v>
      </c>
      <c r="BJ15" s="62">
        <v>3</v>
      </c>
      <c r="BK15" s="83">
        <v>3</v>
      </c>
      <c r="BL15" s="62">
        <v>2</v>
      </c>
      <c r="BM15" s="61">
        <f t="shared" si="13"/>
        <v>0.66666666666666663</v>
      </c>
      <c r="BN15" s="185"/>
      <c r="BO15" s="185"/>
      <c r="BP15" s="83">
        <v>2</v>
      </c>
      <c r="BQ15" s="80">
        <f t="shared" si="14"/>
        <v>0.66666666666666663</v>
      </c>
      <c r="BR15" s="21">
        <v>7</v>
      </c>
      <c r="BS15" s="21">
        <v>3</v>
      </c>
      <c r="BT15" s="23">
        <v>0.42857142857142855</v>
      </c>
      <c r="BU15" s="62">
        <v>7</v>
      </c>
      <c r="BV15" s="83">
        <v>11</v>
      </c>
      <c r="BW15" s="62">
        <v>5</v>
      </c>
      <c r="BX15" s="61">
        <f t="shared" si="9"/>
        <v>0.7142857142857143</v>
      </c>
      <c r="BY15" s="185"/>
      <c r="BZ15" s="185"/>
      <c r="CA15" s="83">
        <v>6</v>
      </c>
      <c r="CB15" s="80">
        <f t="shared" si="10"/>
        <v>0.54545454545454541</v>
      </c>
      <c r="CC15" s="113" t="s">
        <v>143</v>
      </c>
      <c r="CD15" s="114"/>
    </row>
    <row r="16" spans="1:82" ht="271.5" customHeight="1">
      <c r="A16" s="15">
        <v>9</v>
      </c>
      <c r="B16" s="92" t="s">
        <v>15</v>
      </c>
      <c r="C16" s="14" t="s">
        <v>151</v>
      </c>
      <c r="D16" s="21">
        <v>124</v>
      </c>
      <c r="E16" s="21">
        <v>80</v>
      </c>
      <c r="F16" s="22">
        <v>0.64516129032258063</v>
      </c>
      <c r="G16" s="62">
        <f>R16+AC16+AN16+AY16+BJ16+BU16+8</f>
        <v>124</v>
      </c>
      <c r="H16" s="83">
        <f>S16+AD16+AO16+AZ16+BK16+BV16+12</f>
        <v>124</v>
      </c>
      <c r="I16" s="60">
        <f>T16+AE16+AP16+BA16++BL16+BW16+8</f>
        <v>100</v>
      </c>
      <c r="J16" s="59">
        <f t="shared" si="0"/>
        <v>0.80645161290322576</v>
      </c>
      <c r="K16" s="182"/>
      <c r="L16" s="182"/>
      <c r="M16" s="49">
        <f>X16+AI16+AT16+BE16+BP16+CA16+12</f>
        <v>109</v>
      </c>
      <c r="N16" s="16">
        <f>M16/H16</f>
        <v>0.87903225806451613</v>
      </c>
      <c r="O16" s="21">
        <v>18</v>
      </c>
      <c r="P16" s="21">
        <v>17</v>
      </c>
      <c r="Q16" s="22">
        <v>0.94444444444444442</v>
      </c>
      <c r="R16" s="60">
        <v>18</v>
      </c>
      <c r="S16" s="87">
        <v>18</v>
      </c>
      <c r="T16" s="62">
        <v>18</v>
      </c>
      <c r="U16" s="61">
        <f t="shared" si="1"/>
        <v>1</v>
      </c>
      <c r="V16" s="185"/>
      <c r="W16" s="185"/>
      <c r="X16" s="83">
        <v>18</v>
      </c>
      <c r="Y16" s="80">
        <f t="shared" si="2"/>
        <v>1</v>
      </c>
      <c r="Z16" s="21">
        <v>12</v>
      </c>
      <c r="AA16" s="21">
        <v>6</v>
      </c>
      <c r="AB16" s="22">
        <v>0.5</v>
      </c>
      <c r="AC16" s="60">
        <v>12</v>
      </c>
      <c r="AD16" s="87">
        <v>12</v>
      </c>
      <c r="AE16" s="62">
        <v>8</v>
      </c>
      <c r="AF16" s="61">
        <f t="shared" si="3"/>
        <v>0.66666666666666663</v>
      </c>
      <c r="AG16" s="185"/>
      <c r="AH16" s="185"/>
      <c r="AI16" s="83">
        <v>9</v>
      </c>
      <c r="AJ16" s="80">
        <f t="shared" si="4"/>
        <v>0.75</v>
      </c>
      <c r="AK16" s="21">
        <v>42</v>
      </c>
      <c r="AL16" s="21">
        <v>23</v>
      </c>
      <c r="AM16" s="22">
        <v>0.54761904761904767</v>
      </c>
      <c r="AN16" s="60">
        <v>42</v>
      </c>
      <c r="AO16" s="87">
        <v>36</v>
      </c>
      <c r="AP16" s="62">
        <v>29</v>
      </c>
      <c r="AQ16" s="61">
        <f t="shared" si="5"/>
        <v>0.69047619047619047</v>
      </c>
      <c r="AR16" s="185"/>
      <c r="AS16" s="185"/>
      <c r="AT16" s="83">
        <v>30</v>
      </c>
      <c r="AU16" s="80">
        <f t="shared" si="6"/>
        <v>0.83333333333333337</v>
      </c>
      <c r="AV16" s="21">
        <v>20</v>
      </c>
      <c r="AW16" s="21">
        <v>10</v>
      </c>
      <c r="AX16" s="22">
        <v>0.5</v>
      </c>
      <c r="AY16" s="60">
        <v>20</v>
      </c>
      <c r="AZ16" s="87">
        <v>20</v>
      </c>
      <c r="BA16" s="62">
        <v>17</v>
      </c>
      <c r="BB16" s="61">
        <f t="shared" si="7"/>
        <v>0.85</v>
      </c>
      <c r="BC16" s="185"/>
      <c r="BD16" s="185"/>
      <c r="BE16" s="83">
        <v>18</v>
      </c>
      <c r="BF16" s="80">
        <f t="shared" si="8"/>
        <v>0.9</v>
      </c>
      <c r="BG16" s="21">
        <v>12</v>
      </c>
      <c r="BH16" s="21">
        <v>8</v>
      </c>
      <c r="BI16" s="22">
        <v>0.66666666666666663</v>
      </c>
      <c r="BJ16" s="60">
        <v>12</v>
      </c>
      <c r="BK16" s="87">
        <v>11</v>
      </c>
      <c r="BL16" s="62">
        <v>9</v>
      </c>
      <c r="BM16" s="61">
        <f t="shared" si="13"/>
        <v>0.75</v>
      </c>
      <c r="BN16" s="185"/>
      <c r="BO16" s="185"/>
      <c r="BP16" s="83">
        <v>10</v>
      </c>
      <c r="BQ16" s="80">
        <f t="shared" si="14"/>
        <v>0.90909090909090906</v>
      </c>
      <c r="BR16" s="21">
        <v>12</v>
      </c>
      <c r="BS16" s="21">
        <v>8</v>
      </c>
      <c r="BT16" s="22">
        <v>0.66666666666666663</v>
      </c>
      <c r="BU16" s="60">
        <v>12</v>
      </c>
      <c r="BV16" s="87">
        <v>15</v>
      </c>
      <c r="BW16" s="62">
        <v>11</v>
      </c>
      <c r="BX16" s="61">
        <f t="shared" si="9"/>
        <v>0.91666666666666663</v>
      </c>
      <c r="BY16" s="185"/>
      <c r="BZ16" s="185"/>
      <c r="CA16" s="83">
        <v>12</v>
      </c>
      <c r="CB16" s="80">
        <f t="shared" si="10"/>
        <v>0.8</v>
      </c>
      <c r="CC16" s="117" t="s">
        <v>150</v>
      </c>
      <c r="CD16" s="118"/>
    </row>
    <row r="17" spans="1:82" ht="88.5" customHeight="1">
      <c r="A17" s="15">
        <v>10</v>
      </c>
      <c r="B17" s="104" t="s">
        <v>16</v>
      </c>
      <c r="C17" s="14" t="s">
        <v>158</v>
      </c>
      <c r="D17" s="21">
        <f>O17+Z17+AK17+AV17+BG17+BR17+20+62</f>
        <v>706</v>
      </c>
      <c r="E17" s="21">
        <f>P17+AA17+AL17+AW17+BH17+BS17+19+62</f>
        <v>402</v>
      </c>
      <c r="F17" s="22">
        <f>E17/D17</f>
        <v>0.56940509915014159</v>
      </c>
      <c r="G17" s="62">
        <f>R17+AC17+AN17+AY17+BJ17+BU17+62+20</f>
        <v>706</v>
      </c>
      <c r="H17" s="83">
        <f>S17+AD17+AO17+AZ17+BK17+BV17+62+20</f>
        <v>706</v>
      </c>
      <c r="I17" s="60">
        <f>T17+AE17+AP17+BA17++BL17+BW17+62+20</f>
        <v>472</v>
      </c>
      <c r="J17" s="59">
        <f t="shared" si="0"/>
        <v>0.66855524079320117</v>
      </c>
      <c r="K17" s="182"/>
      <c r="L17" s="182"/>
      <c r="M17" s="49">
        <f>X17+AI17+AT17+BE17+BP17+CA17+62+19</f>
        <v>472</v>
      </c>
      <c r="N17" s="16">
        <f>M17/H17</f>
        <v>0.66855524079320117</v>
      </c>
      <c r="O17" s="21">
        <v>107</v>
      </c>
      <c r="P17" s="21">
        <v>89</v>
      </c>
      <c r="Q17" s="22">
        <f>P17/O17</f>
        <v>0.83177570093457942</v>
      </c>
      <c r="R17" s="60">
        <v>107</v>
      </c>
      <c r="S17" s="87">
        <v>104</v>
      </c>
      <c r="T17" s="62">
        <v>103</v>
      </c>
      <c r="U17" s="61">
        <f t="shared" si="1"/>
        <v>0.96261682242990654</v>
      </c>
      <c r="V17" s="185"/>
      <c r="W17" s="185"/>
      <c r="X17" s="83">
        <v>104</v>
      </c>
      <c r="Y17" s="80">
        <f t="shared" si="2"/>
        <v>1</v>
      </c>
      <c r="Z17" s="21">
        <v>19</v>
      </c>
      <c r="AA17" s="21">
        <v>19</v>
      </c>
      <c r="AB17" s="22">
        <f>AA17/Z17</f>
        <v>1</v>
      </c>
      <c r="AC17" s="60">
        <v>19</v>
      </c>
      <c r="AD17" s="87">
        <v>19</v>
      </c>
      <c r="AE17" s="62">
        <v>19</v>
      </c>
      <c r="AF17" s="61">
        <f t="shared" si="3"/>
        <v>1</v>
      </c>
      <c r="AG17" s="185"/>
      <c r="AH17" s="185"/>
      <c r="AI17" s="83">
        <v>19</v>
      </c>
      <c r="AJ17" s="80">
        <f t="shared" si="4"/>
        <v>1</v>
      </c>
      <c r="AK17" s="21">
        <v>275</v>
      </c>
      <c r="AL17" s="21">
        <v>156</v>
      </c>
      <c r="AM17" s="22">
        <f>AL17/AK17</f>
        <v>0.56727272727272726</v>
      </c>
      <c r="AN17" s="60">
        <v>275</v>
      </c>
      <c r="AO17" s="87">
        <v>275</v>
      </c>
      <c r="AP17" s="62">
        <v>177</v>
      </c>
      <c r="AQ17" s="61">
        <f t="shared" si="5"/>
        <v>0.64363636363636367</v>
      </c>
      <c r="AR17" s="185"/>
      <c r="AS17" s="185"/>
      <c r="AT17" s="83">
        <v>177</v>
      </c>
      <c r="AU17" s="80">
        <f t="shared" si="6"/>
        <v>0.64363636363636367</v>
      </c>
      <c r="AV17" s="21">
        <v>206</v>
      </c>
      <c r="AW17" s="21">
        <v>50</v>
      </c>
      <c r="AX17" s="22">
        <f>AW17/AV17</f>
        <v>0.24271844660194175</v>
      </c>
      <c r="AY17" s="60">
        <v>206</v>
      </c>
      <c r="AZ17" s="87">
        <v>206</v>
      </c>
      <c r="BA17" s="62">
        <v>80</v>
      </c>
      <c r="BB17" s="61">
        <f t="shared" si="7"/>
        <v>0.38834951456310679</v>
      </c>
      <c r="BC17" s="185"/>
      <c r="BD17" s="185"/>
      <c r="BE17" s="83">
        <v>80</v>
      </c>
      <c r="BF17" s="80">
        <f t="shared" si="8"/>
        <v>0.38834951456310679</v>
      </c>
      <c r="BG17" s="21">
        <v>4</v>
      </c>
      <c r="BH17" s="21">
        <v>1</v>
      </c>
      <c r="BI17" s="22">
        <f>BH17/BG17</f>
        <v>0.25</v>
      </c>
      <c r="BJ17" s="60">
        <v>4</v>
      </c>
      <c r="BK17" s="87">
        <v>7</v>
      </c>
      <c r="BL17" s="62">
        <v>3</v>
      </c>
      <c r="BM17" s="61">
        <f t="shared" si="13"/>
        <v>0.75</v>
      </c>
      <c r="BN17" s="185"/>
      <c r="BO17" s="185"/>
      <c r="BP17" s="83">
        <v>3</v>
      </c>
      <c r="BQ17" s="80">
        <f t="shared" si="14"/>
        <v>0.42857142857142855</v>
      </c>
      <c r="BR17" s="21">
        <v>13</v>
      </c>
      <c r="BS17" s="21">
        <v>6</v>
      </c>
      <c r="BT17" s="22">
        <f>BS17/BR17</f>
        <v>0.46153846153846156</v>
      </c>
      <c r="BU17" s="60">
        <v>13</v>
      </c>
      <c r="BV17" s="87">
        <v>13</v>
      </c>
      <c r="BW17" s="62">
        <v>8</v>
      </c>
      <c r="BX17" s="61">
        <f t="shared" si="9"/>
        <v>0.61538461538461542</v>
      </c>
      <c r="BY17" s="185"/>
      <c r="BZ17" s="185"/>
      <c r="CA17" s="83">
        <v>8</v>
      </c>
      <c r="CB17" s="80">
        <f t="shared" si="10"/>
        <v>0.61538461538461542</v>
      </c>
      <c r="CC17" s="113" t="s">
        <v>159</v>
      </c>
      <c r="CD17" s="114"/>
    </row>
    <row r="18" spans="1:82" s="93" customFormat="1" ht="95.25" customHeight="1">
      <c r="A18" s="1">
        <v>11</v>
      </c>
      <c r="B18" s="92" t="s">
        <v>17</v>
      </c>
      <c r="C18" s="14" t="s">
        <v>154</v>
      </c>
      <c r="D18" s="21">
        <f>O18+Z18+AK18+AV18+BG18+BR18+3</f>
        <v>264</v>
      </c>
      <c r="E18" s="21">
        <f>P18+AA18+AL18+AW18+BH18+BS18+3</f>
        <v>193</v>
      </c>
      <c r="F18" s="22">
        <f>E18/D18</f>
        <v>0.73106060606060608</v>
      </c>
      <c r="G18" s="62">
        <f>R18+AC18+AN18+AY18+BJ18+BU18+3</f>
        <v>264</v>
      </c>
      <c r="H18" s="83">
        <f>S18+AD18+AO18+AZ18+BK18+BV18+13</f>
        <v>665</v>
      </c>
      <c r="I18" s="60">
        <f>T18+AE18+AP18+BA18++BL18+BW18+3</f>
        <v>249</v>
      </c>
      <c r="J18" s="59">
        <f t="shared" si="0"/>
        <v>0.94318181818181823</v>
      </c>
      <c r="K18" s="182"/>
      <c r="L18" s="182"/>
      <c r="M18" s="49">
        <f>X18+AI18+AT18+BE18+BP18+CA18</f>
        <v>304</v>
      </c>
      <c r="N18" s="94">
        <f>M18/H18</f>
        <v>0.45714285714285713</v>
      </c>
      <c r="O18" s="21">
        <v>89</v>
      </c>
      <c r="P18" s="21">
        <v>87</v>
      </c>
      <c r="Q18" s="22">
        <f>P18/O18</f>
        <v>0.97752808988764039</v>
      </c>
      <c r="R18" s="60">
        <v>89</v>
      </c>
      <c r="S18" s="87">
        <v>133</v>
      </c>
      <c r="T18" s="62">
        <v>110</v>
      </c>
      <c r="U18" s="61">
        <f t="shared" si="1"/>
        <v>1.2359550561797752</v>
      </c>
      <c r="V18" s="185"/>
      <c r="W18" s="185"/>
      <c r="X18" s="83">
        <v>114</v>
      </c>
      <c r="Y18" s="80">
        <f t="shared" si="2"/>
        <v>0.8571428571428571</v>
      </c>
      <c r="Z18" s="21">
        <v>15</v>
      </c>
      <c r="AA18" s="21">
        <v>13</v>
      </c>
      <c r="AB18" s="22">
        <f>AA18/Z18</f>
        <v>0.8666666666666667</v>
      </c>
      <c r="AC18" s="60">
        <v>15</v>
      </c>
      <c r="AD18" s="87">
        <v>21</v>
      </c>
      <c r="AE18" s="62">
        <v>15</v>
      </c>
      <c r="AF18" s="61">
        <f t="shared" si="3"/>
        <v>1</v>
      </c>
      <c r="AG18" s="185"/>
      <c r="AH18" s="185"/>
      <c r="AI18" s="83">
        <v>16</v>
      </c>
      <c r="AJ18" s="80">
        <f t="shared" si="4"/>
        <v>0.76190476190476186</v>
      </c>
      <c r="AK18" s="21">
        <v>69</v>
      </c>
      <c r="AL18" s="21">
        <v>35</v>
      </c>
      <c r="AM18" s="22">
        <f>AL18/AK18</f>
        <v>0.50724637681159424</v>
      </c>
      <c r="AN18" s="60">
        <v>69</v>
      </c>
      <c r="AO18" s="87">
        <v>194</v>
      </c>
      <c r="AP18" s="62">
        <v>43</v>
      </c>
      <c r="AQ18" s="61">
        <f t="shared" si="5"/>
        <v>0.62318840579710144</v>
      </c>
      <c r="AR18" s="185"/>
      <c r="AS18" s="185"/>
      <c r="AT18" s="83">
        <v>68</v>
      </c>
      <c r="AU18" s="80">
        <f t="shared" si="6"/>
        <v>0.35051546391752575</v>
      </c>
      <c r="AV18" s="21">
        <v>43</v>
      </c>
      <c r="AW18" s="21">
        <v>25</v>
      </c>
      <c r="AX18" s="23">
        <f>AW18/AV18</f>
        <v>0.58139534883720934</v>
      </c>
      <c r="AY18" s="60">
        <v>43</v>
      </c>
      <c r="AZ18" s="87">
        <v>241</v>
      </c>
      <c r="BA18" s="62">
        <v>44</v>
      </c>
      <c r="BB18" s="61">
        <f t="shared" si="7"/>
        <v>1.0232558139534884</v>
      </c>
      <c r="BC18" s="185"/>
      <c r="BD18" s="185"/>
      <c r="BE18" s="83">
        <v>63</v>
      </c>
      <c r="BF18" s="80">
        <f t="shared" si="8"/>
        <v>0.26141078838174275</v>
      </c>
      <c r="BG18" s="21">
        <v>9</v>
      </c>
      <c r="BH18" s="21">
        <v>9</v>
      </c>
      <c r="BI18" s="22">
        <f>BH18/BG18</f>
        <v>1</v>
      </c>
      <c r="BJ18" s="60">
        <v>9</v>
      </c>
      <c r="BK18" s="87">
        <v>9</v>
      </c>
      <c r="BL18" s="62">
        <v>9</v>
      </c>
      <c r="BM18" s="61">
        <f t="shared" si="13"/>
        <v>1</v>
      </c>
      <c r="BN18" s="185"/>
      <c r="BO18" s="185"/>
      <c r="BP18" s="83">
        <v>9</v>
      </c>
      <c r="BQ18" s="80">
        <f t="shared" si="14"/>
        <v>1</v>
      </c>
      <c r="BR18" s="21">
        <v>36</v>
      </c>
      <c r="BS18" s="21">
        <v>21</v>
      </c>
      <c r="BT18" s="23">
        <f>BS18/BR18</f>
        <v>0.58333333333333337</v>
      </c>
      <c r="BU18" s="60">
        <v>36</v>
      </c>
      <c r="BV18" s="87">
        <v>54</v>
      </c>
      <c r="BW18" s="62">
        <v>25</v>
      </c>
      <c r="BX18" s="61">
        <f t="shared" si="9"/>
        <v>0.69444444444444442</v>
      </c>
      <c r="BY18" s="185"/>
      <c r="BZ18" s="185"/>
      <c r="CA18" s="83">
        <v>34</v>
      </c>
      <c r="CB18" s="80">
        <f t="shared" si="10"/>
        <v>0.62962962962962965</v>
      </c>
      <c r="CC18" s="113" t="s">
        <v>144</v>
      </c>
      <c r="CD18" s="114"/>
    </row>
    <row r="19" spans="1:82" s="93" customFormat="1" ht="288.75" customHeight="1">
      <c r="A19" s="15">
        <v>12</v>
      </c>
      <c r="B19" s="92" t="s">
        <v>18</v>
      </c>
      <c r="C19" s="14" t="s">
        <v>141</v>
      </c>
      <c r="D19" s="21">
        <f>O19+Z19+AK19+AV19+BG19+BR19+2</f>
        <v>53</v>
      </c>
      <c r="E19" s="21">
        <f>P19+AA19+AL19+AW19+BH19+BS19+2</f>
        <v>37</v>
      </c>
      <c r="F19" s="22">
        <f>E19/D19</f>
        <v>0.69811320754716977</v>
      </c>
      <c r="G19" s="62">
        <f>R19+AC19+AN19+AY19+BJ19+BU19+2</f>
        <v>54</v>
      </c>
      <c r="H19" s="83">
        <f>S19+AD19+AO19+AZ19+BK19+BV19+2</f>
        <v>54</v>
      </c>
      <c r="I19" s="60">
        <f>T19+AE19+AP19+BA19++BL19+BW19+2</f>
        <v>43</v>
      </c>
      <c r="J19" s="59">
        <f t="shared" si="0"/>
        <v>0.79629629629629628</v>
      </c>
      <c r="K19" s="182"/>
      <c r="L19" s="182"/>
      <c r="M19" s="87">
        <f>X19+AI19+AT19+BE19+BP19+CA19+2</f>
        <v>48</v>
      </c>
      <c r="N19" s="94">
        <f>M19/H19</f>
        <v>0.88888888888888884</v>
      </c>
      <c r="O19" s="21">
        <v>10</v>
      </c>
      <c r="P19" s="21">
        <v>7</v>
      </c>
      <c r="Q19" s="22">
        <f>P19/O19</f>
        <v>0.7</v>
      </c>
      <c r="R19" s="60">
        <v>10</v>
      </c>
      <c r="S19" s="87">
        <v>10</v>
      </c>
      <c r="T19" s="62">
        <v>8</v>
      </c>
      <c r="U19" s="61">
        <f t="shared" si="1"/>
        <v>0.8</v>
      </c>
      <c r="V19" s="185"/>
      <c r="W19" s="185"/>
      <c r="X19" s="83">
        <v>9</v>
      </c>
      <c r="Y19" s="80">
        <f t="shared" si="2"/>
        <v>0.9</v>
      </c>
      <c r="Z19" s="21">
        <v>7</v>
      </c>
      <c r="AA19" s="21">
        <v>4</v>
      </c>
      <c r="AB19" s="22">
        <f>AA19/Z19</f>
        <v>0.5714285714285714</v>
      </c>
      <c r="AC19" s="60">
        <v>7</v>
      </c>
      <c r="AD19" s="87">
        <v>7</v>
      </c>
      <c r="AE19" s="62">
        <v>5</v>
      </c>
      <c r="AF19" s="61">
        <f t="shared" si="3"/>
        <v>0.7142857142857143</v>
      </c>
      <c r="AG19" s="185"/>
      <c r="AH19" s="185"/>
      <c r="AI19" s="83">
        <v>6</v>
      </c>
      <c r="AJ19" s="80">
        <f t="shared" si="4"/>
        <v>0.8571428571428571</v>
      </c>
      <c r="AK19" s="21">
        <v>13</v>
      </c>
      <c r="AL19" s="21">
        <v>9</v>
      </c>
      <c r="AM19" s="22">
        <f>AL19/AK19</f>
        <v>0.69230769230769229</v>
      </c>
      <c r="AN19" s="60">
        <v>13</v>
      </c>
      <c r="AO19" s="87">
        <v>13</v>
      </c>
      <c r="AP19" s="62">
        <v>10</v>
      </c>
      <c r="AQ19" s="61">
        <f t="shared" si="5"/>
        <v>0.76923076923076927</v>
      </c>
      <c r="AR19" s="185"/>
      <c r="AS19" s="185"/>
      <c r="AT19" s="83">
        <v>11</v>
      </c>
      <c r="AU19" s="80">
        <f t="shared" si="6"/>
        <v>0.84615384615384615</v>
      </c>
      <c r="AV19" s="21">
        <v>12</v>
      </c>
      <c r="AW19" s="21">
        <v>8</v>
      </c>
      <c r="AX19" s="22">
        <f>AW19/AV19</f>
        <v>0.66666666666666663</v>
      </c>
      <c r="AY19" s="60">
        <v>12</v>
      </c>
      <c r="AZ19" s="87">
        <v>12</v>
      </c>
      <c r="BA19" s="62">
        <v>9</v>
      </c>
      <c r="BB19" s="61">
        <f t="shared" si="7"/>
        <v>0.75</v>
      </c>
      <c r="BC19" s="185"/>
      <c r="BD19" s="185"/>
      <c r="BE19" s="83">
        <v>10</v>
      </c>
      <c r="BF19" s="80">
        <f t="shared" si="8"/>
        <v>0.83333333333333337</v>
      </c>
      <c r="BG19" s="21">
        <v>5</v>
      </c>
      <c r="BH19" s="21">
        <v>4</v>
      </c>
      <c r="BI19" s="22">
        <f>BH19/BG19</f>
        <v>0.8</v>
      </c>
      <c r="BJ19" s="60">
        <v>5</v>
      </c>
      <c r="BK19" s="87">
        <v>5</v>
      </c>
      <c r="BL19" s="62">
        <v>5</v>
      </c>
      <c r="BM19" s="61">
        <f t="shared" si="13"/>
        <v>1</v>
      </c>
      <c r="BN19" s="185"/>
      <c r="BO19" s="185"/>
      <c r="BP19" s="83">
        <v>5</v>
      </c>
      <c r="BQ19" s="80">
        <f t="shared" si="14"/>
        <v>1</v>
      </c>
      <c r="BR19" s="21">
        <v>4</v>
      </c>
      <c r="BS19" s="21">
        <v>3</v>
      </c>
      <c r="BT19" s="22">
        <f>BS19/BR19</f>
        <v>0.75</v>
      </c>
      <c r="BU19" s="60">
        <v>5</v>
      </c>
      <c r="BV19" s="87">
        <v>5</v>
      </c>
      <c r="BW19" s="62">
        <v>4</v>
      </c>
      <c r="BX19" s="61">
        <f t="shared" si="9"/>
        <v>0.8</v>
      </c>
      <c r="BY19" s="185"/>
      <c r="BZ19" s="185"/>
      <c r="CA19" s="83">
        <v>5</v>
      </c>
      <c r="CB19" s="80">
        <f t="shared" si="10"/>
        <v>1</v>
      </c>
      <c r="CC19" s="179" t="s">
        <v>213</v>
      </c>
      <c r="CD19" s="180"/>
    </row>
    <row r="20" spans="1:82" ht="33" customHeight="1">
      <c r="A20" s="15">
        <v>13</v>
      </c>
      <c r="B20" s="92" t="s">
        <v>19</v>
      </c>
      <c r="C20" s="14" t="s">
        <v>231</v>
      </c>
      <c r="D20" s="21">
        <f>O20+Z20+AK20+AV20+BG20+BR20+2</f>
        <v>178</v>
      </c>
      <c r="E20" s="21">
        <f>P20+AA20+AL20+AW20+BH20+BS20+2</f>
        <v>134</v>
      </c>
      <c r="F20" s="22">
        <f>E20/D20</f>
        <v>0.7528089887640449</v>
      </c>
      <c r="G20" s="62">
        <f>R20+AC20+AN20+AY20+BJ20+BU20+2</f>
        <v>178</v>
      </c>
      <c r="H20" s="83">
        <f>S20+AD20+AO20+AZ20+BK20+BV20+2</f>
        <v>554</v>
      </c>
      <c r="I20" s="60">
        <f>T20+AE20+AP20+BA20++BL20+BW20</f>
        <v>163</v>
      </c>
      <c r="J20" s="59">
        <f t="shared" si="0"/>
        <v>0.9157303370786517</v>
      </c>
      <c r="K20" s="182"/>
      <c r="L20" s="182"/>
      <c r="M20" s="49">
        <f>X20+AI20+AT20+BE20+BP20+CA20</f>
        <v>402</v>
      </c>
      <c r="N20" s="16">
        <f>M20/H20</f>
        <v>0.72563176895306858</v>
      </c>
      <c r="O20" s="32">
        <v>65</v>
      </c>
      <c r="P20" s="21">
        <v>57</v>
      </c>
      <c r="Q20" s="22">
        <f>P20/O20</f>
        <v>0.87692307692307692</v>
      </c>
      <c r="R20" s="60">
        <v>65</v>
      </c>
      <c r="S20" s="87">
        <v>87</v>
      </c>
      <c r="T20" s="62">
        <v>65</v>
      </c>
      <c r="U20" s="61">
        <f t="shared" si="1"/>
        <v>1</v>
      </c>
      <c r="V20" s="185"/>
      <c r="W20" s="185"/>
      <c r="X20" s="83">
        <v>87</v>
      </c>
      <c r="Y20" s="80">
        <f t="shared" si="2"/>
        <v>1</v>
      </c>
      <c r="Z20" s="32">
        <v>15</v>
      </c>
      <c r="AA20" s="21">
        <v>7</v>
      </c>
      <c r="AB20" s="22">
        <f>AA20/Z20</f>
        <v>0.46666666666666667</v>
      </c>
      <c r="AC20" s="60">
        <v>15</v>
      </c>
      <c r="AD20" s="87">
        <v>15</v>
      </c>
      <c r="AE20" s="62">
        <v>11</v>
      </c>
      <c r="AF20" s="61">
        <f t="shared" si="3"/>
        <v>0.73333333333333328</v>
      </c>
      <c r="AG20" s="185"/>
      <c r="AH20" s="185"/>
      <c r="AI20" s="83">
        <v>13</v>
      </c>
      <c r="AJ20" s="80">
        <f t="shared" si="4"/>
        <v>0.8666666666666667</v>
      </c>
      <c r="AK20" s="32">
        <v>42</v>
      </c>
      <c r="AL20" s="21">
        <v>30</v>
      </c>
      <c r="AM20" s="22">
        <f>AL20/AK20</f>
        <v>0.7142857142857143</v>
      </c>
      <c r="AN20" s="60">
        <v>42</v>
      </c>
      <c r="AO20" s="87">
        <v>381</v>
      </c>
      <c r="AP20" s="62">
        <v>42</v>
      </c>
      <c r="AQ20" s="61">
        <f t="shared" si="5"/>
        <v>1</v>
      </c>
      <c r="AR20" s="185"/>
      <c r="AS20" s="185"/>
      <c r="AT20" s="83">
        <v>249</v>
      </c>
      <c r="AU20" s="80">
        <f t="shared" si="6"/>
        <v>0.65354330708661412</v>
      </c>
      <c r="AV20" s="32">
        <v>32</v>
      </c>
      <c r="AW20" s="21">
        <v>24</v>
      </c>
      <c r="AX20" s="22">
        <f>AW20/AV20</f>
        <v>0.75</v>
      </c>
      <c r="AY20" s="60">
        <v>32</v>
      </c>
      <c r="AZ20" s="87">
        <v>32</v>
      </c>
      <c r="BA20" s="62">
        <v>28</v>
      </c>
      <c r="BB20" s="61">
        <f t="shared" si="7"/>
        <v>0.875</v>
      </c>
      <c r="BC20" s="185"/>
      <c r="BD20" s="185"/>
      <c r="BE20" s="83">
        <v>32</v>
      </c>
      <c r="BF20" s="80">
        <f t="shared" si="8"/>
        <v>1</v>
      </c>
      <c r="BG20" s="32">
        <v>1</v>
      </c>
      <c r="BH20" s="21">
        <v>1</v>
      </c>
      <c r="BI20" s="22">
        <f>BH20/BG20</f>
        <v>1</v>
      </c>
      <c r="BJ20" s="60">
        <v>1</v>
      </c>
      <c r="BK20" s="87">
        <v>2</v>
      </c>
      <c r="BL20" s="62">
        <v>1</v>
      </c>
      <c r="BM20" s="61">
        <f t="shared" si="13"/>
        <v>1</v>
      </c>
      <c r="BN20" s="185"/>
      <c r="BO20" s="185"/>
      <c r="BP20" s="83">
        <v>1</v>
      </c>
      <c r="BQ20" s="80">
        <f t="shared" si="14"/>
        <v>0.5</v>
      </c>
      <c r="BR20" s="32">
        <v>21</v>
      </c>
      <c r="BS20" s="21">
        <v>13</v>
      </c>
      <c r="BT20" s="22">
        <f>BS20/BR20</f>
        <v>0.61904761904761907</v>
      </c>
      <c r="BU20" s="60">
        <v>21</v>
      </c>
      <c r="BV20" s="87">
        <v>35</v>
      </c>
      <c r="BW20" s="62">
        <v>16</v>
      </c>
      <c r="BX20" s="61">
        <f t="shared" si="9"/>
        <v>0.76190476190476186</v>
      </c>
      <c r="BY20" s="185"/>
      <c r="BZ20" s="185"/>
      <c r="CA20" s="83">
        <v>20</v>
      </c>
      <c r="CB20" s="80">
        <f t="shared" si="10"/>
        <v>0.5714285714285714</v>
      </c>
      <c r="CC20" s="113" t="s">
        <v>230</v>
      </c>
      <c r="CD20" s="114"/>
    </row>
    <row r="21" spans="1:82" ht="142.5" customHeight="1">
      <c r="A21" s="15">
        <v>14</v>
      </c>
      <c r="B21" s="92" t="s">
        <v>20</v>
      </c>
      <c r="C21" s="14" t="s">
        <v>180</v>
      </c>
      <c r="D21" s="21">
        <v>57</v>
      </c>
      <c r="E21" s="21">
        <v>56</v>
      </c>
      <c r="F21" s="22">
        <v>0.98245614035087714</v>
      </c>
      <c r="G21" s="62">
        <f>R21+AC21+AN21+AY21+BJ21+BU21+4</f>
        <v>103</v>
      </c>
      <c r="H21" s="83">
        <f>S21+AD21+AO21+AZ21+BK21+BV21+4</f>
        <v>103</v>
      </c>
      <c r="I21" s="60">
        <f>T21+AE21+AP21+BA21++BL21+BW21+4</f>
        <v>72</v>
      </c>
      <c r="J21" s="59">
        <f t="shared" si="0"/>
        <v>0.69902912621359226</v>
      </c>
      <c r="K21" s="182"/>
      <c r="L21" s="182"/>
      <c r="M21" s="49">
        <f>X21+AI21+AT21+BE21+BP21+CA21+4</f>
        <v>86</v>
      </c>
      <c r="N21" s="16">
        <f>M21/H21</f>
        <v>0.83495145631067957</v>
      </c>
      <c r="O21" s="33">
        <v>18</v>
      </c>
      <c r="P21" s="33">
        <v>18</v>
      </c>
      <c r="Q21" s="22">
        <v>1</v>
      </c>
      <c r="R21" s="60">
        <v>23</v>
      </c>
      <c r="S21" s="87">
        <v>23</v>
      </c>
      <c r="T21" s="62">
        <v>20</v>
      </c>
      <c r="U21" s="61">
        <f t="shared" si="1"/>
        <v>0.86956521739130432</v>
      </c>
      <c r="V21" s="185"/>
      <c r="W21" s="185"/>
      <c r="X21" s="83">
        <v>22</v>
      </c>
      <c r="Y21" s="80">
        <f t="shared" si="2"/>
        <v>0.95652173913043481</v>
      </c>
      <c r="Z21" s="33">
        <v>7</v>
      </c>
      <c r="AA21" s="33">
        <v>6</v>
      </c>
      <c r="AB21" s="22">
        <v>0.8571428571428571</v>
      </c>
      <c r="AC21" s="60">
        <v>9</v>
      </c>
      <c r="AD21" s="87">
        <v>9</v>
      </c>
      <c r="AE21" s="62">
        <v>7</v>
      </c>
      <c r="AF21" s="61">
        <f t="shared" si="3"/>
        <v>0.77777777777777779</v>
      </c>
      <c r="AG21" s="185"/>
      <c r="AH21" s="185"/>
      <c r="AI21" s="83">
        <v>8</v>
      </c>
      <c r="AJ21" s="80">
        <f t="shared" si="4"/>
        <v>0.88888888888888884</v>
      </c>
      <c r="AK21" s="33">
        <v>10</v>
      </c>
      <c r="AL21" s="33">
        <v>10</v>
      </c>
      <c r="AM21" s="22">
        <v>1</v>
      </c>
      <c r="AN21" s="60">
        <v>21</v>
      </c>
      <c r="AO21" s="87">
        <v>21</v>
      </c>
      <c r="AP21" s="62">
        <v>11</v>
      </c>
      <c r="AQ21" s="61">
        <f t="shared" si="5"/>
        <v>0.52380952380952384</v>
      </c>
      <c r="AR21" s="185"/>
      <c r="AS21" s="185"/>
      <c r="AT21" s="83">
        <v>17</v>
      </c>
      <c r="AU21" s="80">
        <f t="shared" si="6"/>
        <v>0.80952380952380953</v>
      </c>
      <c r="AV21" s="33">
        <v>12</v>
      </c>
      <c r="AW21" s="33">
        <v>12</v>
      </c>
      <c r="AX21" s="22">
        <v>1</v>
      </c>
      <c r="AY21" s="60">
        <v>18</v>
      </c>
      <c r="AZ21" s="87">
        <v>18</v>
      </c>
      <c r="BA21" s="62">
        <v>15</v>
      </c>
      <c r="BB21" s="61">
        <f t="shared" si="7"/>
        <v>0.83333333333333337</v>
      </c>
      <c r="BC21" s="185"/>
      <c r="BD21" s="185"/>
      <c r="BE21" s="83">
        <v>17</v>
      </c>
      <c r="BF21" s="80">
        <f t="shared" si="8"/>
        <v>0.94444444444444442</v>
      </c>
      <c r="BG21" s="33"/>
      <c r="BH21" s="33"/>
      <c r="BI21" s="22"/>
      <c r="BJ21" s="60">
        <v>19</v>
      </c>
      <c r="BK21" s="87">
        <v>19</v>
      </c>
      <c r="BL21" s="62">
        <v>8</v>
      </c>
      <c r="BM21" s="61">
        <f t="shared" si="13"/>
        <v>0.42105263157894735</v>
      </c>
      <c r="BN21" s="185"/>
      <c r="BO21" s="185"/>
      <c r="BP21" s="83">
        <v>10</v>
      </c>
      <c r="BQ21" s="80">
        <f t="shared" si="14"/>
        <v>0.52631578947368418</v>
      </c>
      <c r="BR21" s="33">
        <v>6</v>
      </c>
      <c r="BS21" s="33">
        <v>6</v>
      </c>
      <c r="BT21" s="22">
        <v>1</v>
      </c>
      <c r="BU21" s="60">
        <v>9</v>
      </c>
      <c r="BV21" s="87">
        <v>9</v>
      </c>
      <c r="BW21" s="62">
        <v>7</v>
      </c>
      <c r="BX21" s="61">
        <f t="shared" si="9"/>
        <v>0.77777777777777779</v>
      </c>
      <c r="BY21" s="185"/>
      <c r="BZ21" s="185"/>
      <c r="CA21" s="83">
        <v>8</v>
      </c>
      <c r="CB21" s="80">
        <f t="shared" si="10"/>
        <v>0.88888888888888884</v>
      </c>
      <c r="CC21" s="113" t="s">
        <v>179</v>
      </c>
      <c r="CD21" s="114"/>
    </row>
    <row r="22" spans="1:82" ht="89.25" customHeight="1">
      <c r="A22" s="15">
        <v>15</v>
      </c>
      <c r="B22" s="92" t="s">
        <v>21</v>
      </c>
      <c r="C22" s="14"/>
      <c r="D22" s="21">
        <f>O22+Z22+AK22+AV22+BG22+BR22</f>
        <v>154</v>
      </c>
      <c r="E22" s="21">
        <f>P22+AA22+AL22+AW22+BH22+BS22</f>
        <v>74</v>
      </c>
      <c r="F22" s="22">
        <f>E22/D22</f>
        <v>0.48051948051948051</v>
      </c>
      <c r="G22" s="62">
        <f>R22+AC22+AN22+AY22+BJ22+BU22</f>
        <v>210</v>
      </c>
      <c r="H22" s="83">
        <f t="shared" si="12"/>
        <v>210</v>
      </c>
      <c r="I22" s="60">
        <f>T22+AE22+AP22+BA22++BL22+BW22</f>
        <v>163</v>
      </c>
      <c r="J22" s="59">
        <f>I22/G22</f>
        <v>0.77619047619047621</v>
      </c>
      <c r="K22" s="182"/>
      <c r="L22" s="182"/>
      <c r="M22" s="49">
        <f>X22+AI22+AT22+BE22+BP22+CA22</f>
        <v>193</v>
      </c>
      <c r="N22" s="16">
        <f>M22/H22</f>
        <v>0.919047619047619</v>
      </c>
      <c r="O22" s="21">
        <v>31</v>
      </c>
      <c r="P22" s="21">
        <v>21</v>
      </c>
      <c r="Q22" s="22">
        <f>P22/O22</f>
        <v>0.67741935483870963</v>
      </c>
      <c r="R22" s="60">
        <v>63</v>
      </c>
      <c r="S22" s="87">
        <v>63</v>
      </c>
      <c r="T22" s="62">
        <v>55</v>
      </c>
      <c r="U22" s="61">
        <f t="shared" si="1"/>
        <v>0.87301587301587302</v>
      </c>
      <c r="V22" s="185"/>
      <c r="W22" s="185"/>
      <c r="X22" s="83">
        <v>63</v>
      </c>
      <c r="Y22" s="80">
        <f t="shared" si="2"/>
        <v>1</v>
      </c>
      <c r="Z22" s="21"/>
      <c r="AA22" s="21"/>
      <c r="AB22" s="22"/>
      <c r="AC22" s="60">
        <v>35</v>
      </c>
      <c r="AD22" s="87">
        <v>35</v>
      </c>
      <c r="AE22" s="62">
        <v>24</v>
      </c>
      <c r="AF22" s="61">
        <f t="shared" si="3"/>
        <v>0.68571428571428572</v>
      </c>
      <c r="AG22" s="185"/>
      <c r="AH22" s="185"/>
      <c r="AI22" s="83">
        <v>35</v>
      </c>
      <c r="AJ22" s="80">
        <f t="shared" si="4"/>
        <v>1</v>
      </c>
      <c r="AK22" s="21">
        <v>95</v>
      </c>
      <c r="AL22" s="21">
        <v>31</v>
      </c>
      <c r="AM22" s="22">
        <f>AL22/AK22</f>
        <v>0.32631578947368423</v>
      </c>
      <c r="AN22" s="60">
        <v>77</v>
      </c>
      <c r="AO22" s="87">
        <v>77</v>
      </c>
      <c r="AP22" s="62">
        <v>55</v>
      </c>
      <c r="AQ22" s="61">
        <f t="shared" si="5"/>
        <v>0.7142857142857143</v>
      </c>
      <c r="AR22" s="185"/>
      <c r="AS22" s="185"/>
      <c r="AT22" s="83">
        <v>62</v>
      </c>
      <c r="AU22" s="80">
        <f t="shared" si="6"/>
        <v>0.80519480519480524</v>
      </c>
      <c r="AV22" s="21">
        <v>16</v>
      </c>
      <c r="AW22" s="21">
        <v>12</v>
      </c>
      <c r="AX22" s="22">
        <f>AW22/AV22</f>
        <v>0.75</v>
      </c>
      <c r="AY22" s="60">
        <v>17</v>
      </c>
      <c r="AZ22" s="87">
        <v>17</v>
      </c>
      <c r="BA22" s="62">
        <v>15</v>
      </c>
      <c r="BB22" s="61">
        <f t="shared" si="7"/>
        <v>0.88235294117647056</v>
      </c>
      <c r="BC22" s="185"/>
      <c r="BD22" s="185"/>
      <c r="BE22" s="83">
        <v>17</v>
      </c>
      <c r="BF22" s="80">
        <f t="shared" si="8"/>
        <v>1</v>
      </c>
      <c r="BG22" s="21">
        <v>2</v>
      </c>
      <c r="BH22" s="21">
        <v>2</v>
      </c>
      <c r="BI22" s="22">
        <f>BH22/BG22</f>
        <v>1</v>
      </c>
      <c r="BJ22" s="60">
        <v>2</v>
      </c>
      <c r="BK22" s="87">
        <v>2</v>
      </c>
      <c r="BL22" s="62">
        <v>2</v>
      </c>
      <c r="BM22" s="61">
        <f t="shared" si="13"/>
        <v>1</v>
      </c>
      <c r="BN22" s="185"/>
      <c r="BO22" s="185"/>
      <c r="BP22" s="83">
        <v>2</v>
      </c>
      <c r="BQ22" s="80">
        <f t="shared" si="14"/>
        <v>1</v>
      </c>
      <c r="BR22" s="21">
        <v>10</v>
      </c>
      <c r="BS22" s="21">
        <v>8</v>
      </c>
      <c r="BT22" s="22">
        <f>BS22/BR22</f>
        <v>0.8</v>
      </c>
      <c r="BU22" s="60">
        <v>16</v>
      </c>
      <c r="BV22" s="87">
        <v>16</v>
      </c>
      <c r="BW22" s="62">
        <v>12</v>
      </c>
      <c r="BX22" s="61">
        <f t="shared" si="9"/>
        <v>0.75</v>
      </c>
      <c r="BY22" s="185"/>
      <c r="BZ22" s="185"/>
      <c r="CA22" s="83">
        <v>14</v>
      </c>
      <c r="CB22" s="80">
        <f t="shared" si="10"/>
        <v>0.875</v>
      </c>
      <c r="CC22" s="145" t="s">
        <v>240</v>
      </c>
      <c r="CD22" s="146"/>
    </row>
    <row r="23" spans="1:82" ht="216" customHeight="1">
      <c r="A23" s="15">
        <v>16</v>
      </c>
      <c r="B23" s="92" t="s">
        <v>22</v>
      </c>
      <c r="C23" s="14"/>
      <c r="D23" s="21">
        <f>O23+Z23+AK23+AV23+BG23+BR23</f>
        <v>116</v>
      </c>
      <c r="E23" s="21">
        <f>P23+AA23+AL23+AW23+BH23+BS23</f>
        <v>69</v>
      </c>
      <c r="F23" s="22">
        <f>E23/D23</f>
        <v>0.59482758620689657</v>
      </c>
      <c r="G23" s="62">
        <f t="shared" si="11"/>
        <v>132</v>
      </c>
      <c r="H23" s="83">
        <f t="shared" si="12"/>
        <v>132</v>
      </c>
      <c r="I23" s="60">
        <f>T23+AE23+AP23+BA23++BL23+BW23</f>
        <v>94</v>
      </c>
      <c r="J23" s="59">
        <f t="shared" si="0"/>
        <v>0.71212121212121215</v>
      </c>
      <c r="K23" s="182"/>
      <c r="L23" s="182"/>
      <c r="M23" s="49">
        <f>X23+AI23+AT23+BE23+BP23+CA23</f>
        <v>108</v>
      </c>
      <c r="N23" s="16">
        <f>M23/H23</f>
        <v>0.81818181818181823</v>
      </c>
      <c r="O23" s="34">
        <v>52</v>
      </c>
      <c r="P23" s="32">
        <v>39</v>
      </c>
      <c r="Q23" s="22">
        <f>P23/O23</f>
        <v>0.75</v>
      </c>
      <c r="R23" s="60">
        <v>52</v>
      </c>
      <c r="S23" s="87">
        <v>52</v>
      </c>
      <c r="T23" s="62">
        <v>40</v>
      </c>
      <c r="U23" s="61">
        <f t="shared" si="1"/>
        <v>0.76923076923076927</v>
      </c>
      <c r="V23" s="185"/>
      <c r="W23" s="185"/>
      <c r="X23" s="83">
        <v>40</v>
      </c>
      <c r="Y23" s="80">
        <f t="shared" si="2"/>
        <v>0.76923076923076927</v>
      </c>
      <c r="Z23" s="34">
        <v>9</v>
      </c>
      <c r="AA23" s="32">
        <v>5</v>
      </c>
      <c r="AB23" s="22">
        <f>AA23/Z23</f>
        <v>0.55555555555555558</v>
      </c>
      <c r="AC23" s="60">
        <v>9</v>
      </c>
      <c r="AD23" s="87">
        <v>9</v>
      </c>
      <c r="AE23" s="62">
        <v>9</v>
      </c>
      <c r="AF23" s="61">
        <f t="shared" si="3"/>
        <v>1</v>
      </c>
      <c r="AG23" s="185"/>
      <c r="AH23" s="185"/>
      <c r="AI23" s="83">
        <v>9</v>
      </c>
      <c r="AJ23" s="80">
        <f t="shared" si="4"/>
        <v>1</v>
      </c>
      <c r="AK23" s="34">
        <v>29</v>
      </c>
      <c r="AL23" s="32">
        <v>13</v>
      </c>
      <c r="AM23" s="22">
        <f>AL23/AK23</f>
        <v>0.44827586206896552</v>
      </c>
      <c r="AN23" s="60">
        <v>39</v>
      </c>
      <c r="AO23" s="87">
        <v>39</v>
      </c>
      <c r="AP23" s="62">
        <v>27</v>
      </c>
      <c r="AQ23" s="61">
        <f t="shared" si="5"/>
        <v>0.69230769230769229</v>
      </c>
      <c r="AR23" s="185"/>
      <c r="AS23" s="185"/>
      <c r="AT23" s="83">
        <v>35</v>
      </c>
      <c r="AU23" s="80">
        <f t="shared" si="6"/>
        <v>0.89743589743589747</v>
      </c>
      <c r="AV23" s="34">
        <v>21</v>
      </c>
      <c r="AW23" s="34">
        <v>9</v>
      </c>
      <c r="AX23" s="41">
        <f>AW23/AV23</f>
        <v>0.42857142857142855</v>
      </c>
      <c r="AY23" s="75">
        <v>26</v>
      </c>
      <c r="AZ23" s="89">
        <v>26</v>
      </c>
      <c r="BA23" s="62">
        <v>15</v>
      </c>
      <c r="BB23" s="61">
        <f t="shared" si="7"/>
        <v>0.57692307692307687</v>
      </c>
      <c r="BC23" s="185"/>
      <c r="BD23" s="185"/>
      <c r="BE23" s="83">
        <v>19</v>
      </c>
      <c r="BF23" s="80">
        <f t="shared" si="8"/>
        <v>0.73076923076923073</v>
      </c>
      <c r="BG23" s="34">
        <v>3</v>
      </c>
      <c r="BH23" s="34">
        <v>2</v>
      </c>
      <c r="BI23" s="41">
        <f>BH23/BG23</f>
        <v>0.66666666666666663</v>
      </c>
      <c r="BJ23" s="75">
        <v>4</v>
      </c>
      <c r="BK23" s="89">
        <v>4</v>
      </c>
      <c r="BL23" s="62">
        <v>2</v>
      </c>
      <c r="BM23" s="61">
        <f t="shared" si="13"/>
        <v>0.5</v>
      </c>
      <c r="BN23" s="185"/>
      <c r="BO23" s="185"/>
      <c r="BP23" s="83">
        <v>3</v>
      </c>
      <c r="BQ23" s="80">
        <f t="shared" si="14"/>
        <v>0.75</v>
      </c>
      <c r="BR23" s="34">
        <v>2</v>
      </c>
      <c r="BS23" s="34">
        <v>1</v>
      </c>
      <c r="BT23" s="41">
        <f>BS23/BR23</f>
        <v>0.5</v>
      </c>
      <c r="BU23" s="75">
        <v>2</v>
      </c>
      <c r="BV23" s="89">
        <v>2</v>
      </c>
      <c r="BW23" s="62">
        <v>1</v>
      </c>
      <c r="BX23" s="61">
        <f t="shared" si="9"/>
        <v>0.5</v>
      </c>
      <c r="BY23" s="185"/>
      <c r="BZ23" s="185"/>
      <c r="CA23" s="83">
        <v>2</v>
      </c>
      <c r="CB23" s="80">
        <f t="shared" si="10"/>
        <v>1</v>
      </c>
      <c r="CC23" s="117" t="s">
        <v>147</v>
      </c>
      <c r="CD23" s="118"/>
    </row>
    <row r="24" spans="1:82" ht="45">
      <c r="A24" s="15">
        <v>17</v>
      </c>
      <c r="B24" s="92" t="s">
        <v>23</v>
      </c>
      <c r="C24" s="14" t="s">
        <v>133</v>
      </c>
      <c r="D24" s="21">
        <f>O24+Z24+AK24+AV24+BG24+BR24+42</f>
        <v>1000</v>
      </c>
      <c r="E24" s="21">
        <f>P24+AA24+AL24+AW24+BH24+BS24+42</f>
        <v>551</v>
      </c>
      <c r="F24" s="22">
        <f>E24/D24</f>
        <v>0.55100000000000005</v>
      </c>
      <c r="G24" s="62">
        <f>R24+AC24+AN24+AY24+BJ24+BU24+42</f>
        <v>1000</v>
      </c>
      <c r="H24" s="83">
        <f>S24+AD24+AO24+AZ24+BK24+BV24+42</f>
        <v>1000</v>
      </c>
      <c r="I24" s="60">
        <f>T24+AE24+AP24+BA24+BL24+BW24+42</f>
        <v>564</v>
      </c>
      <c r="J24" s="59">
        <f t="shared" si="0"/>
        <v>0.56399999999999995</v>
      </c>
      <c r="K24" s="182"/>
      <c r="L24" s="182"/>
      <c r="M24" s="49">
        <f>X24+AI24+AT24+BE24+BP24+CA24+42</f>
        <v>580</v>
      </c>
      <c r="N24" s="16">
        <f>M24/H24</f>
        <v>0.57999999999999996</v>
      </c>
      <c r="O24" s="21">
        <v>192</v>
      </c>
      <c r="P24" s="21">
        <v>115</v>
      </c>
      <c r="Q24" s="22">
        <f>P24/O24</f>
        <v>0.59895833333333337</v>
      </c>
      <c r="R24" s="60">
        <v>183</v>
      </c>
      <c r="S24" s="87">
        <v>183</v>
      </c>
      <c r="T24" s="62">
        <v>117</v>
      </c>
      <c r="U24" s="61">
        <f t="shared" si="1"/>
        <v>0.63934426229508201</v>
      </c>
      <c r="V24" s="185"/>
      <c r="W24" s="185"/>
      <c r="X24" s="83">
        <v>118</v>
      </c>
      <c r="Y24" s="80">
        <f t="shared" si="2"/>
        <v>0.64480874316939896</v>
      </c>
      <c r="Z24" s="21">
        <v>52</v>
      </c>
      <c r="AA24" s="21">
        <v>25</v>
      </c>
      <c r="AB24" s="22">
        <f>AA24/Z24</f>
        <v>0.48076923076923078</v>
      </c>
      <c r="AC24" s="60">
        <v>52</v>
      </c>
      <c r="AD24" s="87">
        <v>52</v>
      </c>
      <c r="AE24" s="62">
        <v>26</v>
      </c>
      <c r="AF24" s="61">
        <f t="shared" si="3"/>
        <v>0.5</v>
      </c>
      <c r="AG24" s="185"/>
      <c r="AH24" s="185"/>
      <c r="AI24" s="83">
        <v>26</v>
      </c>
      <c r="AJ24" s="80">
        <f t="shared" si="4"/>
        <v>0.5</v>
      </c>
      <c r="AK24" s="21">
        <v>337</v>
      </c>
      <c r="AL24" s="21">
        <v>179</v>
      </c>
      <c r="AM24" s="22">
        <f>AL24/AK24</f>
        <v>0.53115727002967361</v>
      </c>
      <c r="AN24" s="60">
        <v>354</v>
      </c>
      <c r="AO24" s="87">
        <v>354</v>
      </c>
      <c r="AP24" s="62">
        <v>184</v>
      </c>
      <c r="AQ24" s="61">
        <f t="shared" si="5"/>
        <v>0.51977401129943501</v>
      </c>
      <c r="AR24" s="185"/>
      <c r="AS24" s="185"/>
      <c r="AT24" s="83">
        <v>194</v>
      </c>
      <c r="AU24" s="80">
        <f t="shared" si="6"/>
        <v>0.54802259887005644</v>
      </c>
      <c r="AV24" s="21">
        <v>213</v>
      </c>
      <c r="AW24" s="21">
        <v>91</v>
      </c>
      <c r="AX24" s="22">
        <f>AW24/AV24</f>
        <v>0.42723004694835681</v>
      </c>
      <c r="AY24" s="60">
        <v>200</v>
      </c>
      <c r="AZ24" s="87">
        <v>200</v>
      </c>
      <c r="BA24" s="62">
        <v>93</v>
      </c>
      <c r="BB24" s="61">
        <f t="shared" si="7"/>
        <v>0.46500000000000002</v>
      </c>
      <c r="BC24" s="185"/>
      <c r="BD24" s="185"/>
      <c r="BE24" s="83">
        <v>95</v>
      </c>
      <c r="BF24" s="80">
        <f t="shared" si="8"/>
        <v>0.47499999999999998</v>
      </c>
      <c r="BG24" s="21">
        <v>10</v>
      </c>
      <c r="BH24" s="21">
        <v>10</v>
      </c>
      <c r="BI24" s="22">
        <f>BH24/BG24</f>
        <v>1</v>
      </c>
      <c r="BJ24" s="60">
        <v>10</v>
      </c>
      <c r="BK24" s="87">
        <v>10</v>
      </c>
      <c r="BL24" s="62">
        <v>10</v>
      </c>
      <c r="BM24" s="61">
        <f t="shared" si="13"/>
        <v>1</v>
      </c>
      <c r="BN24" s="185"/>
      <c r="BO24" s="185"/>
      <c r="BP24" s="83">
        <v>10</v>
      </c>
      <c r="BQ24" s="80">
        <f t="shared" si="14"/>
        <v>1</v>
      </c>
      <c r="BR24" s="21">
        <v>154</v>
      </c>
      <c r="BS24" s="21">
        <v>89</v>
      </c>
      <c r="BT24" s="22">
        <f>BS24/BR24</f>
        <v>0.57792207792207795</v>
      </c>
      <c r="BU24" s="60">
        <v>159</v>
      </c>
      <c r="BV24" s="87">
        <v>159</v>
      </c>
      <c r="BW24" s="62">
        <v>92</v>
      </c>
      <c r="BX24" s="61">
        <f t="shared" si="9"/>
        <v>0.57861635220125784</v>
      </c>
      <c r="BY24" s="185"/>
      <c r="BZ24" s="185"/>
      <c r="CA24" s="83">
        <v>95</v>
      </c>
      <c r="CB24" s="80">
        <f t="shared" si="10"/>
        <v>0.59748427672955973</v>
      </c>
      <c r="CC24" s="141" t="s">
        <v>132</v>
      </c>
      <c r="CD24" s="118"/>
    </row>
    <row r="25" spans="1:82" ht="75.75" customHeight="1">
      <c r="A25" s="15">
        <v>18</v>
      </c>
      <c r="B25" s="92" t="s">
        <v>24</v>
      </c>
      <c r="C25" s="111" t="s">
        <v>236</v>
      </c>
      <c r="D25" s="21">
        <v>103</v>
      </c>
      <c r="E25" s="21">
        <v>56</v>
      </c>
      <c r="F25" s="22">
        <v>0.5436893203883495</v>
      </c>
      <c r="G25" s="62">
        <f>R25+AC25+AN25+AY25+BJ25+BU25+16</f>
        <v>147</v>
      </c>
      <c r="H25" s="83">
        <f>S25+AD25+AO25+AZ25+BK25+BV25+16</f>
        <v>147</v>
      </c>
      <c r="I25" s="60">
        <f>T25+AE25+AP25+BA25++BL25+BW25+16</f>
        <v>94</v>
      </c>
      <c r="J25" s="59">
        <f>I25/G25</f>
        <v>0.63945578231292521</v>
      </c>
      <c r="K25" s="182"/>
      <c r="L25" s="182"/>
      <c r="M25" s="49">
        <f>X25+AI25+AT25+BE25+BP25+CA25+16</f>
        <v>97</v>
      </c>
      <c r="N25" s="16">
        <f>M25/H25</f>
        <v>0.65986394557823125</v>
      </c>
      <c r="O25" s="21">
        <v>22</v>
      </c>
      <c r="P25" s="21">
        <v>13</v>
      </c>
      <c r="Q25" s="22">
        <v>0.59090909090909094</v>
      </c>
      <c r="R25" s="60">
        <v>29</v>
      </c>
      <c r="S25" s="87">
        <v>29</v>
      </c>
      <c r="T25" s="62">
        <v>22</v>
      </c>
      <c r="U25" s="61">
        <f t="shared" si="1"/>
        <v>0.75862068965517238</v>
      </c>
      <c r="V25" s="185"/>
      <c r="W25" s="185"/>
      <c r="X25" s="83">
        <v>22</v>
      </c>
      <c r="Y25" s="80">
        <f t="shared" si="2"/>
        <v>0.75862068965517238</v>
      </c>
      <c r="Z25" s="21">
        <v>18</v>
      </c>
      <c r="AA25" s="21">
        <v>5</v>
      </c>
      <c r="AB25" s="22">
        <v>0.27777777777777779</v>
      </c>
      <c r="AC25" s="60">
        <v>18</v>
      </c>
      <c r="AD25" s="87">
        <v>18</v>
      </c>
      <c r="AE25" s="62">
        <v>15</v>
      </c>
      <c r="AF25" s="61">
        <f t="shared" si="3"/>
        <v>0.83333333333333337</v>
      </c>
      <c r="AG25" s="185"/>
      <c r="AH25" s="185"/>
      <c r="AI25" s="83">
        <v>15</v>
      </c>
      <c r="AJ25" s="80">
        <f t="shared" si="4"/>
        <v>0.83333333333333337</v>
      </c>
      <c r="AK25" s="21">
        <v>24</v>
      </c>
      <c r="AL25" s="21">
        <v>11</v>
      </c>
      <c r="AM25" s="22">
        <v>0.45833333333333331</v>
      </c>
      <c r="AN25" s="60">
        <v>51</v>
      </c>
      <c r="AO25" s="87">
        <v>51</v>
      </c>
      <c r="AP25" s="62">
        <v>16</v>
      </c>
      <c r="AQ25" s="61">
        <f t="shared" si="5"/>
        <v>0.31372549019607843</v>
      </c>
      <c r="AR25" s="185"/>
      <c r="AS25" s="185"/>
      <c r="AT25" s="83">
        <v>17</v>
      </c>
      <c r="AU25" s="80">
        <f t="shared" si="6"/>
        <v>0.33333333333333331</v>
      </c>
      <c r="AV25" s="21">
        <v>11</v>
      </c>
      <c r="AW25" s="21">
        <v>10</v>
      </c>
      <c r="AX25" s="22">
        <v>0.90909090909090906</v>
      </c>
      <c r="AY25" s="60">
        <v>17</v>
      </c>
      <c r="AZ25" s="87">
        <v>17</v>
      </c>
      <c r="BA25" s="62">
        <v>14</v>
      </c>
      <c r="BB25" s="61">
        <f t="shared" si="7"/>
        <v>0.82352941176470584</v>
      </c>
      <c r="BC25" s="185"/>
      <c r="BD25" s="185"/>
      <c r="BE25" s="83">
        <v>15</v>
      </c>
      <c r="BF25" s="80">
        <f t="shared" si="8"/>
        <v>0.88235294117647056</v>
      </c>
      <c r="BG25" s="21">
        <v>2</v>
      </c>
      <c r="BH25" s="21">
        <v>1</v>
      </c>
      <c r="BI25" s="22">
        <v>0.5</v>
      </c>
      <c r="BJ25" s="60">
        <v>2</v>
      </c>
      <c r="BK25" s="87">
        <v>2</v>
      </c>
      <c r="BL25" s="62">
        <v>1</v>
      </c>
      <c r="BM25" s="61">
        <f t="shared" si="13"/>
        <v>0.5</v>
      </c>
      <c r="BN25" s="185"/>
      <c r="BO25" s="185"/>
      <c r="BP25" s="83">
        <v>1</v>
      </c>
      <c r="BQ25" s="80">
        <f t="shared" si="14"/>
        <v>0.5</v>
      </c>
      <c r="BR25" s="21">
        <v>14</v>
      </c>
      <c r="BS25" s="21">
        <v>5</v>
      </c>
      <c r="BT25" s="22">
        <v>0.35714285714285715</v>
      </c>
      <c r="BU25" s="60">
        <v>14</v>
      </c>
      <c r="BV25" s="87">
        <v>14</v>
      </c>
      <c r="BW25" s="62">
        <v>10</v>
      </c>
      <c r="BX25" s="61">
        <f t="shared" si="9"/>
        <v>0.7142857142857143</v>
      </c>
      <c r="BY25" s="185"/>
      <c r="BZ25" s="185"/>
      <c r="CA25" s="83">
        <v>11</v>
      </c>
      <c r="CB25" s="80">
        <f t="shared" si="10"/>
        <v>0.7857142857142857</v>
      </c>
      <c r="CC25" s="113" t="s">
        <v>191</v>
      </c>
      <c r="CD25" s="114"/>
    </row>
    <row r="26" spans="1:82" ht="30">
      <c r="A26" s="15">
        <v>19</v>
      </c>
      <c r="B26" s="92" t="s">
        <v>25</v>
      </c>
      <c r="C26" s="14" t="s">
        <v>156</v>
      </c>
      <c r="D26" s="21">
        <f>O26+Z26+AK26+AV26+BR26+90</f>
        <v>375</v>
      </c>
      <c r="E26" s="21">
        <f>P26+AA26+AL26+AW26+BS26+35</f>
        <v>203</v>
      </c>
      <c r="F26" s="22">
        <f>E26/D26</f>
        <v>0.54133333333333333</v>
      </c>
      <c r="G26" s="62">
        <f>R26+AC26+AN26+AY26+BJ26+BU26+90</f>
        <v>375</v>
      </c>
      <c r="H26" s="83">
        <f>S26+AD26+AO26+AZ26+BK26+BV26+90</f>
        <v>375</v>
      </c>
      <c r="I26" s="60">
        <f>T26+AE26+AP26+BA26++BL26+BW26+35</f>
        <v>228</v>
      </c>
      <c r="J26" s="59">
        <f t="shared" si="0"/>
        <v>0.60799999999999998</v>
      </c>
      <c r="K26" s="182"/>
      <c r="L26" s="182"/>
      <c r="M26" s="49">
        <f>X26+AI26+AT26+BE26+BP26+CA26+35</f>
        <v>235</v>
      </c>
      <c r="N26" s="16">
        <f>M26/H26</f>
        <v>0.62666666666666671</v>
      </c>
      <c r="O26" s="21">
        <v>100</v>
      </c>
      <c r="P26" s="21">
        <v>69</v>
      </c>
      <c r="Q26" s="22">
        <v>0.54</v>
      </c>
      <c r="R26" s="60">
        <v>100</v>
      </c>
      <c r="S26" s="87">
        <v>100</v>
      </c>
      <c r="T26" s="62">
        <v>74</v>
      </c>
      <c r="U26" s="61">
        <f t="shared" si="1"/>
        <v>0.74</v>
      </c>
      <c r="V26" s="185"/>
      <c r="W26" s="185"/>
      <c r="X26" s="83">
        <v>76</v>
      </c>
      <c r="Y26" s="80">
        <f t="shared" si="2"/>
        <v>0.76</v>
      </c>
      <c r="Z26" s="21">
        <v>27</v>
      </c>
      <c r="AA26" s="21">
        <v>13</v>
      </c>
      <c r="AB26" s="22">
        <v>0.37037037037037035</v>
      </c>
      <c r="AC26" s="60">
        <v>27</v>
      </c>
      <c r="AD26" s="87">
        <v>27</v>
      </c>
      <c r="AE26" s="62">
        <v>17</v>
      </c>
      <c r="AF26" s="61">
        <f t="shared" si="3"/>
        <v>0.62962962962962965</v>
      </c>
      <c r="AG26" s="185"/>
      <c r="AH26" s="185"/>
      <c r="AI26" s="83">
        <v>18</v>
      </c>
      <c r="AJ26" s="80">
        <f t="shared" si="4"/>
        <v>0.66666666666666663</v>
      </c>
      <c r="AK26" s="21">
        <v>103</v>
      </c>
      <c r="AL26" s="21">
        <v>54</v>
      </c>
      <c r="AM26" s="22">
        <v>0.4854368932038835</v>
      </c>
      <c r="AN26" s="60">
        <v>103</v>
      </c>
      <c r="AO26" s="87">
        <v>103</v>
      </c>
      <c r="AP26" s="62">
        <v>64</v>
      </c>
      <c r="AQ26" s="61">
        <f t="shared" si="5"/>
        <v>0.62135922330097082</v>
      </c>
      <c r="AR26" s="185"/>
      <c r="AS26" s="185"/>
      <c r="AT26" s="83">
        <v>67</v>
      </c>
      <c r="AU26" s="80">
        <f t="shared" si="6"/>
        <v>0.65048543689320393</v>
      </c>
      <c r="AV26" s="21">
        <v>28</v>
      </c>
      <c r="AW26" s="21">
        <v>17</v>
      </c>
      <c r="AX26" s="22">
        <v>0.6071428571428571</v>
      </c>
      <c r="AY26" s="60">
        <v>28</v>
      </c>
      <c r="AZ26" s="87">
        <v>28</v>
      </c>
      <c r="BA26" s="62">
        <v>20</v>
      </c>
      <c r="BB26" s="61">
        <f t="shared" si="7"/>
        <v>0.7142857142857143</v>
      </c>
      <c r="BC26" s="185"/>
      <c r="BD26" s="185"/>
      <c r="BE26" s="83">
        <v>20</v>
      </c>
      <c r="BF26" s="80">
        <f t="shared" si="8"/>
        <v>0.7142857142857143</v>
      </c>
      <c r="BG26" s="21"/>
      <c r="BH26" s="21"/>
      <c r="BI26" s="22"/>
      <c r="BJ26" s="60"/>
      <c r="BK26" s="87"/>
      <c r="BL26" s="62"/>
      <c r="BM26" s="61" t="e">
        <f t="shared" si="13"/>
        <v>#DIV/0!</v>
      </c>
      <c r="BN26" s="185"/>
      <c r="BO26" s="185"/>
      <c r="BP26" s="83"/>
      <c r="BQ26" s="80" t="e">
        <f t="shared" si="14"/>
        <v>#DIV/0!</v>
      </c>
      <c r="BR26" s="21">
        <v>27</v>
      </c>
      <c r="BS26" s="21">
        <v>15</v>
      </c>
      <c r="BT26" s="22">
        <v>0.7407407407407407</v>
      </c>
      <c r="BU26" s="60">
        <v>27</v>
      </c>
      <c r="BV26" s="87">
        <v>27</v>
      </c>
      <c r="BW26" s="62">
        <v>18</v>
      </c>
      <c r="BX26" s="61">
        <f t="shared" si="9"/>
        <v>0.66666666666666663</v>
      </c>
      <c r="BY26" s="185"/>
      <c r="BZ26" s="185"/>
      <c r="CA26" s="83">
        <v>19</v>
      </c>
      <c r="CB26" s="80">
        <f t="shared" si="10"/>
        <v>0.70370370370370372</v>
      </c>
      <c r="CC26" s="12"/>
      <c r="CD26" s="12"/>
    </row>
    <row r="27" spans="1:82">
      <c r="A27" s="15">
        <v>20</v>
      </c>
      <c r="B27" s="92" t="s">
        <v>26</v>
      </c>
      <c r="C27" s="14"/>
      <c r="D27" s="21">
        <v>91</v>
      </c>
      <c r="E27" s="21">
        <v>41</v>
      </c>
      <c r="F27" s="22">
        <v>0.45054945054945056</v>
      </c>
      <c r="G27" s="62">
        <f t="shared" si="11"/>
        <v>825</v>
      </c>
      <c r="H27" s="83">
        <f>S27+AD27+AO27+AZ27+BK27+BV27</f>
        <v>825</v>
      </c>
      <c r="I27" s="60">
        <f>T27+AE27+AP27+BA27++BL27+BW27</f>
        <v>233</v>
      </c>
      <c r="J27" s="59">
        <f t="shared" si="0"/>
        <v>0.28242424242424241</v>
      </c>
      <c r="K27" s="182"/>
      <c r="L27" s="182"/>
      <c r="M27" s="49">
        <f>X27+AI27+AT27+BE27+BP27+CA27</f>
        <v>240</v>
      </c>
      <c r="N27" s="16">
        <f>M27/H27</f>
        <v>0.29090909090909089</v>
      </c>
      <c r="O27" s="21">
        <v>25</v>
      </c>
      <c r="P27" s="21">
        <v>14</v>
      </c>
      <c r="Q27" s="22">
        <v>0.56000000000000005</v>
      </c>
      <c r="R27" s="60">
        <v>25</v>
      </c>
      <c r="S27" s="87">
        <v>25</v>
      </c>
      <c r="T27" s="62">
        <v>15</v>
      </c>
      <c r="U27" s="61">
        <f t="shared" si="1"/>
        <v>0.6</v>
      </c>
      <c r="V27" s="185"/>
      <c r="W27" s="185"/>
      <c r="X27" s="83">
        <v>16</v>
      </c>
      <c r="Y27" s="80">
        <f t="shared" si="2"/>
        <v>0.64</v>
      </c>
      <c r="Z27" s="21">
        <v>15</v>
      </c>
      <c r="AA27" s="21">
        <v>0</v>
      </c>
      <c r="AB27" s="22">
        <v>0</v>
      </c>
      <c r="AC27" s="60">
        <v>15</v>
      </c>
      <c r="AD27" s="87">
        <v>15</v>
      </c>
      <c r="AE27" s="62">
        <v>0</v>
      </c>
      <c r="AF27" s="61">
        <f t="shared" si="3"/>
        <v>0</v>
      </c>
      <c r="AG27" s="185"/>
      <c r="AH27" s="185"/>
      <c r="AI27" s="83">
        <v>3</v>
      </c>
      <c r="AJ27" s="80">
        <f t="shared" si="4"/>
        <v>0.2</v>
      </c>
      <c r="AK27" s="21">
        <v>274</v>
      </c>
      <c r="AL27" s="21">
        <v>46</v>
      </c>
      <c r="AM27" s="22">
        <v>0.16788321167883211</v>
      </c>
      <c r="AN27" s="60">
        <v>274</v>
      </c>
      <c r="AO27" s="87">
        <v>274</v>
      </c>
      <c r="AP27" s="62">
        <v>51</v>
      </c>
      <c r="AQ27" s="61">
        <f t="shared" si="5"/>
        <v>0.18613138686131386</v>
      </c>
      <c r="AR27" s="185"/>
      <c r="AS27" s="185"/>
      <c r="AT27" s="83">
        <v>52</v>
      </c>
      <c r="AU27" s="80">
        <f t="shared" si="6"/>
        <v>0.18978102189781021</v>
      </c>
      <c r="AV27" s="21">
        <v>16</v>
      </c>
      <c r="AW27" s="21">
        <v>5</v>
      </c>
      <c r="AX27" s="22">
        <v>0.3125</v>
      </c>
      <c r="AY27" s="60">
        <v>16</v>
      </c>
      <c r="AZ27" s="87">
        <v>16</v>
      </c>
      <c r="BA27" s="62">
        <v>12</v>
      </c>
      <c r="BB27" s="61">
        <f t="shared" si="7"/>
        <v>0.75</v>
      </c>
      <c r="BC27" s="185"/>
      <c r="BD27" s="185"/>
      <c r="BE27" s="83">
        <v>13</v>
      </c>
      <c r="BF27" s="80">
        <f t="shared" si="8"/>
        <v>0.8125</v>
      </c>
      <c r="BG27" s="21">
        <v>12</v>
      </c>
      <c r="BH27" s="21">
        <v>7</v>
      </c>
      <c r="BI27" s="22">
        <v>0.58333333333333337</v>
      </c>
      <c r="BJ27" s="60">
        <v>12</v>
      </c>
      <c r="BK27" s="87">
        <v>12</v>
      </c>
      <c r="BL27" s="62">
        <v>7</v>
      </c>
      <c r="BM27" s="61">
        <f t="shared" si="13"/>
        <v>0.58333333333333337</v>
      </c>
      <c r="BN27" s="185"/>
      <c r="BO27" s="185"/>
      <c r="BP27" s="83">
        <v>7</v>
      </c>
      <c r="BQ27" s="80">
        <f t="shared" si="14"/>
        <v>0.58333333333333337</v>
      </c>
      <c r="BR27" s="21">
        <v>483</v>
      </c>
      <c r="BS27" s="21">
        <v>148</v>
      </c>
      <c r="BT27" s="22">
        <v>0.30641821946169773</v>
      </c>
      <c r="BU27" s="60">
        <v>483</v>
      </c>
      <c r="BV27" s="87">
        <v>483</v>
      </c>
      <c r="BW27" s="62">
        <v>148</v>
      </c>
      <c r="BX27" s="61">
        <f t="shared" si="9"/>
        <v>0.30641821946169773</v>
      </c>
      <c r="BY27" s="185"/>
      <c r="BZ27" s="185"/>
      <c r="CA27" s="83">
        <v>149</v>
      </c>
      <c r="CB27" s="80">
        <f t="shared" si="10"/>
        <v>0.30848861283643891</v>
      </c>
      <c r="CC27" s="12"/>
      <c r="CD27" s="12"/>
    </row>
    <row r="28" spans="1:82" ht="97.5" customHeight="1">
      <c r="A28" s="15">
        <v>21</v>
      </c>
      <c r="B28" s="92" t="s">
        <v>27</v>
      </c>
      <c r="C28" s="14"/>
      <c r="D28" s="21">
        <f>O28+Z28+AK28+AV28+BG28+BR28+11</f>
        <v>235</v>
      </c>
      <c r="E28" s="21">
        <f>P28+AA28+AL28+AW28+BH28+BS28+11</f>
        <v>155</v>
      </c>
      <c r="F28" s="22">
        <f t="shared" ref="F28:F33" si="15">E28/D28</f>
        <v>0.65957446808510634</v>
      </c>
      <c r="G28" s="62">
        <f>R28+AC28+AN28+AY28+BJ28+BU28+11</f>
        <v>235</v>
      </c>
      <c r="H28" s="83">
        <f>S28+AD28+AO28+AZ28+BK28+BV28+11</f>
        <v>233</v>
      </c>
      <c r="I28" s="60">
        <f>T28+AE28+AP28+BA28++BL28+BW28+11</f>
        <v>181</v>
      </c>
      <c r="J28" s="105">
        <f t="shared" si="0"/>
        <v>0.77021276595744681</v>
      </c>
      <c r="K28" s="183"/>
      <c r="L28" s="183"/>
      <c r="M28" s="49">
        <f>X28+AI28+AT28+BE28+BP28+CA28+11</f>
        <v>207</v>
      </c>
      <c r="N28" s="16">
        <f>M28/H28</f>
        <v>0.88841201716738194</v>
      </c>
      <c r="O28" s="35">
        <v>29</v>
      </c>
      <c r="P28" s="21">
        <v>20</v>
      </c>
      <c r="Q28" s="22">
        <f t="shared" ref="Q28:Q33" si="16">P28/O28</f>
        <v>0.68965517241379315</v>
      </c>
      <c r="R28" s="60">
        <v>29</v>
      </c>
      <c r="S28" s="87">
        <v>29</v>
      </c>
      <c r="T28" s="62">
        <v>24</v>
      </c>
      <c r="U28" s="61">
        <f t="shared" si="1"/>
        <v>0.82758620689655171</v>
      </c>
      <c r="V28" s="185"/>
      <c r="W28" s="185"/>
      <c r="X28" s="83">
        <v>27</v>
      </c>
      <c r="Y28" s="80">
        <f t="shared" si="2"/>
        <v>0.93103448275862066</v>
      </c>
      <c r="Z28" s="35"/>
      <c r="AA28" s="21"/>
      <c r="AB28" s="22"/>
      <c r="AC28" s="60"/>
      <c r="AD28" s="87"/>
      <c r="AE28" s="62"/>
      <c r="AF28" s="61" t="e">
        <f t="shared" si="3"/>
        <v>#DIV/0!</v>
      </c>
      <c r="AG28" s="185"/>
      <c r="AH28" s="185"/>
      <c r="AI28" s="83"/>
      <c r="AJ28" s="80" t="e">
        <f t="shared" si="4"/>
        <v>#DIV/0!</v>
      </c>
      <c r="AK28" s="35">
        <v>115</v>
      </c>
      <c r="AL28" s="21">
        <v>70</v>
      </c>
      <c r="AM28" s="22">
        <f t="shared" ref="AM28:AM33" si="17">AL28/AK28</f>
        <v>0.60869565217391308</v>
      </c>
      <c r="AN28" s="60">
        <v>115</v>
      </c>
      <c r="AO28" s="87">
        <v>115</v>
      </c>
      <c r="AP28" s="62">
        <v>85</v>
      </c>
      <c r="AQ28" s="61">
        <f t="shared" si="5"/>
        <v>0.73913043478260865</v>
      </c>
      <c r="AR28" s="185"/>
      <c r="AS28" s="185"/>
      <c r="AT28" s="83">
        <v>100</v>
      </c>
      <c r="AU28" s="80">
        <f t="shared" si="6"/>
        <v>0.86956521739130432</v>
      </c>
      <c r="AV28" s="35">
        <v>25</v>
      </c>
      <c r="AW28" s="21">
        <v>17</v>
      </c>
      <c r="AX28" s="22">
        <f t="shared" ref="AX28:AX33" si="18">AW28/AV28</f>
        <v>0.68</v>
      </c>
      <c r="AY28" s="60">
        <v>25</v>
      </c>
      <c r="AZ28" s="87">
        <v>25</v>
      </c>
      <c r="BA28" s="62">
        <v>19</v>
      </c>
      <c r="BB28" s="61">
        <f t="shared" si="7"/>
        <v>0.76</v>
      </c>
      <c r="BC28" s="185"/>
      <c r="BD28" s="185"/>
      <c r="BE28" s="83">
        <v>22</v>
      </c>
      <c r="BF28" s="80">
        <f t="shared" si="8"/>
        <v>0.88</v>
      </c>
      <c r="BG28" s="35">
        <v>11</v>
      </c>
      <c r="BH28" s="21">
        <v>9</v>
      </c>
      <c r="BI28" s="22">
        <f>BH28/BG28</f>
        <v>0.81818181818181823</v>
      </c>
      <c r="BJ28" s="60">
        <v>11</v>
      </c>
      <c r="BK28" s="87">
        <v>9</v>
      </c>
      <c r="BL28" s="62">
        <v>9</v>
      </c>
      <c r="BM28" s="61">
        <f t="shared" si="13"/>
        <v>0.81818181818181823</v>
      </c>
      <c r="BN28" s="185"/>
      <c r="BO28" s="185"/>
      <c r="BP28" s="83">
        <v>9</v>
      </c>
      <c r="BQ28" s="80">
        <f t="shared" si="14"/>
        <v>1</v>
      </c>
      <c r="BR28" s="35">
        <v>44</v>
      </c>
      <c r="BS28" s="21">
        <v>28</v>
      </c>
      <c r="BT28" s="22">
        <f t="shared" ref="BT28:BT33" si="19">BS28/BR28</f>
        <v>0.63636363636363635</v>
      </c>
      <c r="BU28" s="60">
        <v>44</v>
      </c>
      <c r="BV28" s="87">
        <v>44</v>
      </c>
      <c r="BW28" s="62">
        <v>33</v>
      </c>
      <c r="BX28" s="61">
        <f t="shared" si="9"/>
        <v>0.75</v>
      </c>
      <c r="BY28" s="185"/>
      <c r="BZ28" s="185"/>
      <c r="CA28" s="83">
        <v>38</v>
      </c>
      <c r="CB28" s="80">
        <f t="shared" si="10"/>
        <v>0.86363636363636365</v>
      </c>
      <c r="CC28" s="141" t="s">
        <v>162</v>
      </c>
      <c r="CD28" s="118"/>
    </row>
    <row r="29" spans="1:82" ht="36.75" customHeight="1">
      <c r="A29" s="15">
        <v>22</v>
      </c>
      <c r="B29" s="92" t="s">
        <v>28</v>
      </c>
      <c r="C29" s="14" t="s">
        <v>157</v>
      </c>
      <c r="D29" s="21">
        <f>O29+Z29+AK29+AV29+BG29+BR29+9</f>
        <v>126</v>
      </c>
      <c r="E29" s="21">
        <f>P29+AA29+AL29+AW29+BH29+BS29+9</f>
        <v>75</v>
      </c>
      <c r="F29" s="22">
        <f t="shared" si="15"/>
        <v>0.59523809523809523</v>
      </c>
      <c r="G29" s="62">
        <f>R29+AC29+AN29+AY29+BJ29+BU29+9</f>
        <v>126</v>
      </c>
      <c r="H29" s="83">
        <f>S29+AD29+AO29+AZ29+BK29+BV29+9</f>
        <v>126</v>
      </c>
      <c r="I29" s="60">
        <f>T29+AE29+AP29+BA29++BL29+BW29+9</f>
        <v>85</v>
      </c>
      <c r="J29" s="59">
        <f>I29/G29</f>
        <v>0.67460317460317465</v>
      </c>
      <c r="K29" s="182"/>
      <c r="L29" s="182"/>
      <c r="M29" s="49">
        <f>X29+AI29+AT29+BE29+BP29+CA29+9</f>
        <v>100</v>
      </c>
      <c r="N29" s="16">
        <f>M29/H29</f>
        <v>0.79365079365079361</v>
      </c>
      <c r="O29" s="31">
        <v>21</v>
      </c>
      <c r="P29" s="31">
        <v>15</v>
      </c>
      <c r="Q29" s="22">
        <f t="shared" si="16"/>
        <v>0.7142857142857143</v>
      </c>
      <c r="R29" s="60">
        <v>21</v>
      </c>
      <c r="S29" s="87">
        <v>21</v>
      </c>
      <c r="T29" s="62">
        <v>17</v>
      </c>
      <c r="U29" s="61">
        <f t="shared" si="1"/>
        <v>0.80952380952380953</v>
      </c>
      <c r="V29" s="185"/>
      <c r="W29" s="185"/>
      <c r="X29" s="83">
        <v>19</v>
      </c>
      <c r="Y29" s="80">
        <f t="shared" si="2"/>
        <v>0.90476190476190477</v>
      </c>
      <c r="Z29" s="31">
        <v>7</v>
      </c>
      <c r="AA29" s="31">
        <v>7</v>
      </c>
      <c r="AB29" s="22">
        <f>AA29/Z29</f>
        <v>1</v>
      </c>
      <c r="AC29" s="60">
        <v>7</v>
      </c>
      <c r="AD29" s="87">
        <v>7</v>
      </c>
      <c r="AE29" s="62">
        <v>7</v>
      </c>
      <c r="AF29" s="61">
        <f t="shared" si="3"/>
        <v>1</v>
      </c>
      <c r="AG29" s="185"/>
      <c r="AH29" s="185"/>
      <c r="AI29" s="83">
        <v>7</v>
      </c>
      <c r="AJ29" s="80">
        <f t="shared" si="4"/>
        <v>1</v>
      </c>
      <c r="AK29" s="31">
        <v>42</v>
      </c>
      <c r="AL29" s="31">
        <v>12</v>
      </c>
      <c r="AM29" s="22">
        <f t="shared" si="17"/>
        <v>0.2857142857142857</v>
      </c>
      <c r="AN29" s="60">
        <v>42</v>
      </c>
      <c r="AO29" s="87">
        <v>42</v>
      </c>
      <c r="AP29" s="62">
        <v>15</v>
      </c>
      <c r="AQ29" s="61">
        <f t="shared" si="5"/>
        <v>0.35714285714285715</v>
      </c>
      <c r="AR29" s="185"/>
      <c r="AS29" s="185"/>
      <c r="AT29" s="83">
        <v>21</v>
      </c>
      <c r="AU29" s="80">
        <f t="shared" si="6"/>
        <v>0.5</v>
      </c>
      <c r="AV29" s="31">
        <v>27</v>
      </c>
      <c r="AW29" s="31">
        <v>19</v>
      </c>
      <c r="AX29" s="22">
        <f t="shared" si="18"/>
        <v>0.70370370370370372</v>
      </c>
      <c r="AY29" s="60">
        <v>27</v>
      </c>
      <c r="AZ29" s="87">
        <v>27</v>
      </c>
      <c r="BA29" s="62">
        <v>22</v>
      </c>
      <c r="BB29" s="61">
        <f t="shared" si="7"/>
        <v>0.81481481481481477</v>
      </c>
      <c r="BC29" s="185"/>
      <c r="BD29" s="185"/>
      <c r="BE29" s="83">
        <v>27</v>
      </c>
      <c r="BF29" s="80">
        <f t="shared" si="8"/>
        <v>1</v>
      </c>
      <c r="BG29" s="31"/>
      <c r="BH29" s="31"/>
      <c r="BI29" s="22"/>
      <c r="BJ29" s="60"/>
      <c r="BK29" s="87"/>
      <c r="BL29" s="62"/>
      <c r="BM29" s="61" t="e">
        <f t="shared" si="13"/>
        <v>#DIV/0!</v>
      </c>
      <c r="BN29" s="185"/>
      <c r="BO29" s="185"/>
      <c r="BP29" s="83"/>
      <c r="BQ29" s="80" t="e">
        <f t="shared" si="14"/>
        <v>#DIV/0!</v>
      </c>
      <c r="BR29" s="31">
        <v>20</v>
      </c>
      <c r="BS29" s="31">
        <v>13</v>
      </c>
      <c r="BT29" s="22">
        <f t="shared" si="19"/>
        <v>0.65</v>
      </c>
      <c r="BU29" s="60">
        <v>20</v>
      </c>
      <c r="BV29" s="87">
        <v>20</v>
      </c>
      <c r="BW29" s="62">
        <v>15</v>
      </c>
      <c r="BX29" s="61">
        <f t="shared" si="9"/>
        <v>0.75</v>
      </c>
      <c r="BY29" s="185"/>
      <c r="BZ29" s="185"/>
      <c r="CA29" s="83">
        <v>17</v>
      </c>
      <c r="CB29" s="80">
        <f t="shared" si="10"/>
        <v>0.85</v>
      </c>
      <c r="CC29" s="142"/>
      <c r="CD29" s="143"/>
    </row>
    <row r="30" spans="1:82" ht="75">
      <c r="A30" s="15">
        <v>23</v>
      </c>
      <c r="B30" s="92" t="s">
        <v>29</v>
      </c>
      <c r="C30" s="14" t="s">
        <v>139</v>
      </c>
      <c r="D30" s="21">
        <f>O30+Z30+AK30+AV30+BG30+BR30+40</f>
        <v>194</v>
      </c>
      <c r="E30" s="21">
        <f>P30+AA30+AL30+AW30+BH30+BS30+10</f>
        <v>105</v>
      </c>
      <c r="F30" s="22">
        <f t="shared" si="15"/>
        <v>0.54123711340206182</v>
      </c>
      <c r="G30" s="62">
        <f>R30+AC30+AN30+AY30+BJ30+BU30+40</f>
        <v>219</v>
      </c>
      <c r="H30" s="83">
        <f>S30+AD30+AO30+AZ30+BK30+BV30+40</f>
        <v>230</v>
      </c>
      <c r="I30" s="60">
        <f>T30+AE30+AP30+BA30++BL30+BW30+10</f>
        <v>127</v>
      </c>
      <c r="J30" s="59">
        <f t="shared" si="0"/>
        <v>0.57990867579908678</v>
      </c>
      <c r="K30" s="182"/>
      <c r="L30" s="182"/>
      <c r="M30" s="49">
        <f>X30+AI30+AT30+BE30+BP30+CA30+10</f>
        <v>138</v>
      </c>
      <c r="N30" s="16">
        <f>M30/H30</f>
        <v>0.6</v>
      </c>
      <c r="O30" s="21">
        <v>71</v>
      </c>
      <c r="P30" s="21">
        <v>46</v>
      </c>
      <c r="Q30" s="22">
        <f t="shared" si="16"/>
        <v>0.647887323943662</v>
      </c>
      <c r="R30" s="60">
        <v>79</v>
      </c>
      <c r="S30" s="87">
        <v>84</v>
      </c>
      <c r="T30" s="62">
        <v>54</v>
      </c>
      <c r="U30" s="61">
        <f t="shared" si="1"/>
        <v>0.68354430379746833</v>
      </c>
      <c r="V30" s="185"/>
      <c r="W30" s="185"/>
      <c r="X30" s="83">
        <v>58</v>
      </c>
      <c r="Y30" s="80">
        <f t="shared" si="2"/>
        <v>0.69047619047619047</v>
      </c>
      <c r="Z30" s="21">
        <v>10</v>
      </c>
      <c r="AA30" s="21">
        <v>5</v>
      </c>
      <c r="AB30" s="22">
        <f>AA30/Z30</f>
        <v>0.5</v>
      </c>
      <c r="AC30" s="60">
        <v>19</v>
      </c>
      <c r="AD30" s="87">
        <v>18</v>
      </c>
      <c r="AE30" s="62">
        <v>10</v>
      </c>
      <c r="AF30" s="61">
        <f t="shared" si="3"/>
        <v>0.52631578947368418</v>
      </c>
      <c r="AG30" s="185"/>
      <c r="AH30" s="185"/>
      <c r="AI30" s="83">
        <v>10</v>
      </c>
      <c r="AJ30" s="80">
        <f t="shared" si="4"/>
        <v>0.55555555555555558</v>
      </c>
      <c r="AK30" s="21">
        <v>57</v>
      </c>
      <c r="AL30" s="21">
        <v>35</v>
      </c>
      <c r="AM30" s="22">
        <f t="shared" si="17"/>
        <v>0.61403508771929827</v>
      </c>
      <c r="AN30" s="60">
        <v>65</v>
      </c>
      <c r="AO30" s="87">
        <v>71</v>
      </c>
      <c r="AP30" s="62">
        <v>42</v>
      </c>
      <c r="AQ30" s="61">
        <f t="shared" si="5"/>
        <v>0.64615384615384619</v>
      </c>
      <c r="AR30" s="185"/>
      <c r="AS30" s="185"/>
      <c r="AT30" s="83">
        <v>48</v>
      </c>
      <c r="AU30" s="80">
        <f t="shared" si="6"/>
        <v>0.676056338028169</v>
      </c>
      <c r="AV30" s="21">
        <v>8</v>
      </c>
      <c r="AW30" s="21">
        <v>4</v>
      </c>
      <c r="AX30" s="22">
        <f t="shared" si="18"/>
        <v>0.5</v>
      </c>
      <c r="AY30" s="60">
        <v>8</v>
      </c>
      <c r="AZ30" s="87">
        <v>9</v>
      </c>
      <c r="BA30" s="62">
        <v>5</v>
      </c>
      <c r="BB30" s="61">
        <f t="shared" si="7"/>
        <v>0.625</v>
      </c>
      <c r="BC30" s="185"/>
      <c r="BD30" s="185"/>
      <c r="BE30" s="83">
        <v>6</v>
      </c>
      <c r="BF30" s="80">
        <f t="shared" si="8"/>
        <v>0.66666666666666663</v>
      </c>
      <c r="BG30" s="21">
        <v>0</v>
      </c>
      <c r="BH30" s="21">
        <v>0</v>
      </c>
      <c r="BI30" s="22">
        <v>0</v>
      </c>
      <c r="BJ30" s="60">
        <v>0</v>
      </c>
      <c r="BK30" s="87">
        <v>0</v>
      </c>
      <c r="BL30" s="62">
        <v>0</v>
      </c>
      <c r="BM30" s="61">
        <v>0</v>
      </c>
      <c r="BN30" s="185"/>
      <c r="BO30" s="185"/>
      <c r="BP30" s="83">
        <v>0</v>
      </c>
      <c r="BQ30" s="80">
        <v>0</v>
      </c>
      <c r="BR30" s="21">
        <v>8</v>
      </c>
      <c r="BS30" s="21">
        <v>5</v>
      </c>
      <c r="BT30" s="22">
        <f t="shared" si="19"/>
        <v>0.625</v>
      </c>
      <c r="BU30" s="60">
        <v>8</v>
      </c>
      <c r="BV30" s="87">
        <v>8</v>
      </c>
      <c r="BW30" s="62">
        <v>6</v>
      </c>
      <c r="BX30" s="61">
        <f t="shared" si="9"/>
        <v>0.75</v>
      </c>
      <c r="BY30" s="185"/>
      <c r="BZ30" s="185"/>
      <c r="CA30" s="83">
        <v>6</v>
      </c>
      <c r="CB30" s="80">
        <f t="shared" si="10"/>
        <v>0.75</v>
      </c>
      <c r="CC30" s="115" t="s">
        <v>140</v>
      </c>
      <c r="CD30" s="116"/>
    </row>
    <row r="31" spans="1:82" ht="30">
      <c r="A31" s="15">
        <v>24</v>
      </c>
      <c r="B31" s="92" t="s">
        <v>30</v>
      </c>
      <c r="C31" s="14" t="s">
        <v>222</v>
      </c>
      <c r="D31" s="21">
        <f>O31+Z31+AK31+AV31+BG31+BR31+17</f>
        <v>526</v>
      </c>
      <c r="E31" s="21">
        <f>P31+AA31+AL31+AW31+BH31+BS31+7</f>
        <v>291</v>
      </c>
      <c r="F31" s="22">
        <f t="shared" si="15"/>
        <v>0.55323193916349811</v>
      </c>
      <c r="G31" s="62">
        <f>R31+AC31+AN31+AY31+BJ31+BU31+17</f>
        <v>526</v>
      </c>
      <c r="H31" s="83">
        <f>S31+AD31+AO31+AZ31+BK31+BV31+17</f>
        <v>526</v>
      </c>
      <c r="I31" s="60">
        <f>T31+AE31+AP31+BA31++BL31+BW31+6</f>
        <v>342</v>
      </c>
      <c r="J31" s="59">
        <f t="shared" si="0"/>
        <v>0.65019011406844107</v>
      </c>
      <c r="K31" s="182"/>
      <c r="L31" s="182"/>
      <c r="M31" s="49">
        <f>X31+AI31+AT31+BE31+BP31+CA31+6</f>
        <v>356</v>
      </c>
      <c r="N31" s="16">
        <f>M31/H31</f>
        <v>0.67680608365019013</v>
      </c>
      <c r="O31" s="21">
        <v>54</v>
      </c>
      <c r="P31" s="21">
        <v>36</v>
      </c>
      <c r="Q31" s="22">
        <f t="shared" si="16"/>
        <v>0.66666666666666663</v>
      </c>
      <c r="R31" s="60">
        <v>54</v>
      </c>
      <c r="S31" s="87">
        <v>54</v>
      </c>
      <c r="T31" s="62">
        <v>41</v>
      </c>
      <c r="U31" s="61">
        <f t="shared" si="1"/>
        <v>0.7592592592592593</v>
      </c>
      <c r="V31" s="185"/>
      <c r="W31" s="185"/>
      <c r="X31" s="83">
        <v>43</v>
      </c>
      <c r="Y31" s="80">
        <f t="shared" si="2"/>
        <v>0.79629629629629628</v>
      </c>
      <c r="Z31" s="21">
        <v>22</v>
      </c>
      <c r="AA31" s="21">
        <v>12</v>
      </c>
      <c r="AB31" s="22">
        <f>AA31/Z31</f>
        <v>0.54545454545454541</v>
      </c>
      <c r="AC31" s="60">
        <v>22</v>
      </c>
      <c r="AD31" s="87">
        <v>22</v>
      </c>
      <c r="AE31" s="62">
        <v>13</v>
      </c>
      <c r="AF31" s="61">
        <f t="shared" si="3"/>
        <v>0.59090909090909094</v>
      </c>
      <c r="AG31" s="185"/>
      <c r="AH31" s="185"/>
      <c r="AI31" s="83">
        <v>14</v>
      </c>
      <c r="AJ31" s="80">
        <f t="shared" si="4"/>
        <v>0.63636363636363635</v>
      </c>
      <c r="AK31" s="21">
        <v>55</v>
      </c>
      <c r="AL31" s="21">
        <v>31</v>
      </c>
      <c r="AM31" s="22">
        <f t="shared" si="17"/>
        <v>0.5636363636363636</v>
      </c>
      <c r="AN31" s="60">
        <v>55</v>
      </c>
      <c r="AO31" s="87">
        <v>55</v>
      </c>
      <c r="AP31" s="62">
        <v>36</v>
      </c>
      <c r="AQ31" s="61">
        <f t="shared" si="5"/>
        <v>0.65454545454545454</v>
      </c>
      <c r="AR31" s="185"/>
      <c r="AS31" s="185"/>
      <c r="AT31" s="83">
        <v>37</v>
      </c>
      <c r="AU31" s="80">
        <f t="shared" si="6"/>
        <v>0.67272727272727273</v>
      </c>
      <c r="AV31" s="21">
        <v>270</v>
      </c>
      <c r="AW31" s="21">
        <v>141</v>
      </c>
      <c r="AX31" s="22">
        <f t="shared" si="18"/>
        <v>0.52222222222222225</v>
      </c>
      <c r="AY31" s="60">
        <v>270</v>
      </c>
      <c r="AZ31" s="87">
        <v>270</v>
      </c>
      <c r="BA31" s="62">
        <v>171</v>
      </c>
      <c r="BB31" s="61">
        <f t="shared" si="7"/>
        <v>0.6333333333333333</v>
      </c>
      <c r="BC31" s="185"/>
      <c r="BD31" s="185"/>
      <c r="BE31" s="83">
        <v>178</v>
      </c>
      <c r="BF31" s="80">
        <f t="shared" si="8"/>
        <v>0.65925925925925921</v>
      </c>
      <c r="BG31" s="21">
        <v>18</v>
      </c>
      <c r="BH31" s="21">
        <v>12</v>
      </c>
      <c r="BI31" s="22">
        <f>BH31/BG31</f>
        <v>0.66666666666666663</v>
      </c>
      <c r="BJ31" s="60">
        <v>18</v>
      </c>
      <c r="BK31" s="87">
        <v>18</v>
      </c>
      <c r="BL31" s="62">
        <v>13</v>
      </c>
      <c r="BM31" s="61">
        <f t="shared" si="13"/>
        <v>0.72222222222222221</v>
      </c>
      <c r="BN31" s="185"/>
      <c r="BO31" s="185"/>
      <c r="BP31" s="83">
        <v>14</v>
      </c>
      <c r="BQ31" s="80">
        <f t="shared" si="14"/>
        <v>0.77777777777777779</v>
      </c>
      <c r="BR31" s="21">
        <v>90</v>
      </c>
      <c r="BS31" s="21">
        <v>52</v>
      </c>
      <c r="BT31" s="22">
        <f t="shared" si="19"/>
        <v>0.57777777777777772</v>
      </c>
      <c r="BU31" s="60">
        <v>90</v>
      </c>
      <c r="BV31" s="87">
        <v>90</v>
      </c>
      <c r="BW31" s="62">
        <v>62</v>
      </c>
      <c r="BX31" s="61">
        <f t="shared" si="9"/>
        <v>0.68888888888888888</v>
      </c>
      <c r="BY31" s="185"/>
      <c r="BZ31" s="185"/>
      <c r="CA31" s="83">
        <v>64</v>
      </c>
      <c r="CB31" s="80">
        <f t="shared" si="10"/>
        <v>0.71111111111111114</v>
      </c>
      <c r="CD31" s="12"/>
    </row>
    <row r="32" spans="1:82">
      <c r="A32" s="15">
        <v>25</v>
      </c>
      <c r="B32" s="92" t="s">
        <v>31</v>
      </c>
      <c r="C32" s="14" t="s">
        <v>160</v>
      </c>
      <c r="D32" s="21">
        <f>O32+Z32+AK32+AV32+BG32+BR32+10</f>
        <v>835</v>
      </c>
      <c r="E32" s="21">
        <f>P32+AA32+AL32+AW32+BH32+BS32+10</f>
        <v>458</v>
      </c>
      <c r="F32" s="22">
        <f t="shared" si="15"/>
        <v>0.548502994011976</v>
      </c>
      <c r="G32" s="62">
        <f>R32+AC32+AN32+AY32+BJ32+BU32+10</f>
        <v>835</v>
      </c>
      <c r="H32" s="83">
        <f>S32+AD32+AO32+AZ32+BK32+BV32+10</f>
        <v>835</v>
      </c>
      <c r="I32" s="60">
        <f>T32+AE32+AP32+BA32++BL32+BW32+10</f>
        <v>431</v>
      </c>
      <c r="J32" s="59">
        <f t="shared" si="0"/>
        <v>0.51616766467065867</v>
      </c>
      <c r="K32" s="182"/>
      <c r="L32" s="182"/>
      <c r="M32" s="49">
        <f>X32+AI32+AT32+BE32+BP32+CA32</f>
        <v>539</v>
      </c>
      <c r="N32" s="16">
        <f>M32/H32</f>
        <v>0.6455089820359281</v>
      </c>
      <c r="O32" s="36">
        <v>53</v>
      </c>
      <c r="P32" s="36">
        <v>24</v>
      </c>
      <c r="Q32" s="22">
        <f t="shared" si="16"/>
        <v>0.45283018867924529</v>
      </c>
      <c r="R32" s="60">
        <v>53</v>
      </c>
      <c r="S32" s="87">
        <v>53</v>
      </c>
      <c r="T32" s="62">
        <v>29</v>
      </c>
      <c r="U32" s="61">
        <f t="shared" si="1"/>
        <v>0.54716981132075471</v>
      </c>
      <c r="V32" s="185"/>
      <c r="W32" s="185"/>
      <c r="X32" s="83">
        <v>40</v>
      </c>
      <c r="Y32" s="80">
        <f t="shared" si="2"/>
        <v>0.75471698113207553</v>
      </c>
      <c r="Z32" s="21">
        <v>15</v>
      </c>
      <c r="AA32" s="21">
        <v>8</v>
      </c>
      <c r="AB32" s="22">
        <f>AA32/Z32</f>
        <v>0.53333333333333333</v>
      </c>
      <c r="AC32" s="60">
        <v>15</v>
      </c>
      <c r="AD32" s="87">
        <v>15</v>
      </c>
      <c r="AE32" s="62">
        <v>10</v>
      </c>
      <c r="AF32" s="61">
        <f t="shared" si="3"/>
        <v>0.66666666666666663</v>
      </c>
      <c r="AG32" s="185"/>
      <c r="AH32" s="185"/>
      <c r="AI32" s="83">
        <v>11</v>
      </c>
      <c r="AJ32" s="80">
        <f t="shared" si="4"/>
        <v>0.73333333333333328</v>
      </c>
      <c r="AK32" s="21">
        <v>115</v>
      </c>
      <c r="AL32" s="21">
        <v>43</v>
      </c>
      <c r="AM32" s="22">
        <f t="shared" si="17"/>
        <v>0.37391304347826088</v>
      </c>
      <c r="AN32" s="60">
        <v>115</v>
      </c>
      <c r="AO32" s="87">
        <v>115</v>
      </c>
      <c r="AP32" s="62">
        <v>45</v>
      </c>
      <c r="AQ32" s="61">
        <f t="shared" si="5"/>
        <v>0.39130434782608697</v>
      </c>
      <c r="AR32" s="185"/>
      <c r="AS32" s="185"/>
      <c r="AT32" s="83">
        <v>85</v>
      </c>
      <c r="AU32" s="80">
        <f t="shared" si="6"/>
        <v>0.73913043478260865</v>
      </c>
      <c r="AV32" s="21">
        <v>24</v>
      </c>
      <c r="AW32" s="21">
        <v>6</v>
      </c>
      <c r="AX32" s="22">
        <f t="shared" si="18"/>
        <v>0.25</v>
      </c>
      <c r="AY32" s="60">
        <v>24</v>
      </c>
      <c r="AZ32" s="87">
        <v>24</v>
      </c>
      <c r="BA32" s="62">
        <v>10</v>
      </c>
      <c r="BB32" s="61">
        <f t="shared" si="7"/>
        <v>0.41666666666666669</v>
      </c>
      <c r="BC32" s="185"/>
      <c r="BD32" s="185"/>
      <c r="BE32" s="83">
        <v>15</v>
      </c>
      <c r="BF32" s="80">
        <f t="shared" si="8"/>
        <v>0.625</v>
      </c>
      <c r="BG32" s="36">
        <v>605</v>
      </c>
      <c r="BH32" s="36">
        <v>361</v>
      </c>
      <c r="BI32" s="22">
        <f>BH32/BG32</f>
        <v>0.59669421487603302</v>
      </c>
      <c r="BJ32" s="60">
        <v>605</v>
      </c>
      <c r="BK32" s="87">
        <v>605</v>
      </c>
      <c r="BL32" s="62">
        <v>320</v>
      </c>
      <c r="BM32" s="61">
        <f t="shared" si="13"/>
        <v>0.52892561983471076</v>
      </c>
      <c r="BN32" s="185"/>
      <c r="BO32" s="185"/>
      <c r="BP32" s="83">
        <v>379</v>
      </c>
      <c r="BQ32" s="80">
        <f t="shared" si="14"/>
        <v>0.62644628099173549</v>
      </c>
      <c r="BR32" s="21">
        <v>13</v>
      </c>
      <c r="BS32" s="21">
        <v>6</v>
      </c>
      <c r="BT32" s="22">
        <f t="shared" si="19"/>
        <v>0.46153846153846156</v>
      </c>
      <c r="BU32" s="60">
        <v>13</v>
      </c>
      <c r="BV32" s="87">
        <v>13</v>
      </c>
      <c r="BW32" s="62">
        <v>7</v>
      </c>
      <c r="BX32" s="61">
        <f t="shared" si="9"/>
        <v>0.53846153846153844</v>
      </c>
      <c r="BY32" s="185"/>
      <c r="BZ32" s="185"/>
      <c r="CA32" s="83">
        <v>9</v>
      </c>
      <c r="CB32" s="80">
        <f t="shared" si="10"/>
        <v>0.69230769230769229</v>
      </c>
      <c r="CC32" s="12"/>
      <c r="CD32" s="12"/>
    </row>
    <row r="33" spans="1:82" ht="102.75" customHeight="1">
      <c r="A33" s="15">
        <v>26</v>
      </c>
      <c r="B33" s="92" t="s">
        <v>32</v>
      </c>
      <c r="C33" s="14"/>
      <c r="D33" s="21">
        <f>O33+Z33+AK33+AV33+BG33+BR33</f>
        <v>369</v>
      </c>
      <c r="E33" s="21">
        <f>P33+AA33+AL33+AW33+BH33+BS33</f>
        <v>217</v>
      </c>
      <c r="F33" s="22">
        <f t="shared" si="15"/>
        <v>0.58807588075880757</v>
      </c>
      <c r="G33" s="62">
        <f t="shared" si="11"/>
        <v>361</v>
      </c>
      <c r="H33" s="83">
        <f t="shared" si="12"/>
        <v>369</v>
      </c>
      <c r="I33" s="60">
        <f>T33+AE33+AP33+BA33++BL33+BW33</f>
        <v>231</v>
      </c>
      <c r="J33" s="59">
        <f t="shared" si="0"/>
        <v>0.63988919667590027</v>
      </c>
      <c r="K33" s="182"/>
      <c r="L33" s="182"/>
      <c r="M33" s="49">
        <f>X33+AI33+AT33+BE33+BP33+CA33</f>
        <v>264</v>
      </c>
      <c r="N33" s="16">
        <f>M33/H33</f>
        <v>0.71544715447154472</v>
      </c>
      <c r="O33" s="37">
        <v>119</v>
      </c>
      <c r="P33" s="37">
        <v>78</v>
      </c>
      <c r="Q33" s="22">
        <f t="shared" si="16"/>
        <v>0.65546218487394958</v>
      </c>
      <c r="R33" s="60">
        <v>115</v>
      </c>
      <c r="S33" s="87">
        <v>119</v>
      </c>
      <c r="T33" s="62">
        <v>79</v>
      </c>
      <c r="U33" s="61">
        <f t="shared" si="1"/>
        <v>0.68695652173913047</v>
      </c>
      <c r="V33" s="185"/>
      <c r="W33" s="185"/>
      <c r="X33" s="83">
        <v>94</v>
      </c>
      <c r="Y33" s="80">
        <f t="shared" si="2"/>
        <v>0.78991596638655459</v>
      </c>
      <c r="Z33" s="37">
        <v>50</v>
      </c>
      <c r="AA33" s="37">
        <v>32</v>
      </c>
      <c r="AB33" s="22">
        <f>AA33/Z33</f>
        <v>0.64</v>
      </c>
      <c r="AC33" s="60">
        <v>48</v>
      </c>
      <c r="AD33" s="87">
        <v>50</v>
      </c>
      <c r="AE33" s="62">
        <v>33</v>
      </c>
      <c r="AF33" s="61">
        <f t="shared" si="3"/>
        <v>0.6875</v>
      </c>
      <c r="AG33" s="185"/>
      <c r="AH33" s="185"/>
      <c r="AI33" s="83">
        <v>37</v>
      </c>
      <c r="AJ33" s="80">
        <f t="shared" si="4"/>
        <v>0.74</v>
      </c>
      <c r="AK33" s="37">
        <v>67</v>
      </c>
      <c r="AL33" s="37">
        <v>30</v>
      </c>
      <c r="AM33" s="22">
        <f t="shared" si="17"/>
        <v>0.44776119402985076</v>
      </c>
      <c r="AN33" s="60">
        <v>66</v>
      </c>
      <c r="AO33" s="87">
        <v>67</v>
      </c>
      <c r="AP33" s="62">
        <v>32</v>
      </c>
      <c r="AQ33" s="61">
        <f t="shared" si="5"/>
        <v>0.48484848484848486</v>
      </c>
      <c r="AR33" s="185"/>
      <c r="AS33" s="185"/>
      <c r="AT33" s="83">
        <v>38</v>
      </c>
      <c r="AU33" s="80">
        <f t="shared" si="6"/>
        <v>0.56716417910447758</v>
      </c>
      <c r="AV33" s="37">
        <v>56</v>
      </c>
      <c r="AW33" s="37">
        <v>28</v>
      </c>
      <c r="AX33" s="22">
        <f t="shared" si="18"/>
        <v>0.5</v>
      </c>
      <c r="AY33" s="60">
        <v>55</v>
      </c>
      <c r="AZ33" s="87">
        <v>56</v>
      </c>
      <c r="BA33" s="62">
        <v>32</v>
      </c>
      <c r="BB33" s="61">
        <f t="shared" si="7"/>
        <v>0.58181818181818179</v>
      </c>
      <c r="BC33" s="185"/>
      <c r="BD33" s="185"/>
      <c r="BE33" s="83">
        <v>38</v>
      </c>
      <c r="BF33" s="80">
        <f t="shared" si="8"/>
        <v>0.6785714285714286</v>
      </c>
      <c r="BG33" s="37"/>
      <c r="BH33" s="37"/>
      <c r="BI33" s="22"/>
      <c r="BJ33" s="60"/>
      <c r="BK33" s="87"/>
      <c r="BL33" s="62"/>
      <c r="BM33" s="61" t="e">
        <f t="shared" si="13"/>
        <v>#DIV/0!</v>
      </c>
      <c r="BN33" s="185"/>
      <c r="BO33" s="185"/>
      <c r="BP33" s="83"/>
      <c r="BQ33" s="80" t="e">
        <f t="shared" si="14"/>
        <v>#DIV/0!</v>
      </c>
      <c r="BR33" s="37">
        <v>77</v>
      </c>
      <c r="BS33" s="37">
        <v>49</v>
      </c>
      <c r="BT33" s="22">
        <f t="shared" si="19"/>
        <v>0.63636363636363635</v>
      </c>
      <c r="BU33" s="60">
        <v>77</v>
      </c>
      <c r="BV33" s="87">
        <v>77</v>
      </c>
      <c r="BW33" s="62">
        <v>55</v>
      </c>
      <c r="BX33" s="61">
        <f t="shared" si="9"/>
        <v>0.7142857142857143</v>
      </c>
      <c r="BY33" s="185"/>
      <c r="BZ33" s="185"/>
      <c r="CA33" s="83">
        <v>57</v>
      </c>
      <c r="CB33" s="80">
        <f t="shared" si="10"/>
        <v>0.74025974025974028</v>
      </c>
      <c r="CC33" s="113" t="s">
        <v>194</v>
      </c>
      <c r="CD33" s="114"/>
    </row>
    <row r="34" spans="1:82" ht="140.25" customHeight="1">
      <c r="A34" s="15">
        <v>27</v>
      </c>
      <c r="B34" s="92" t="s">
        <v>33</v>
      </c>
      <c r="C34" s="14"/>
      <c r="D34" s="21">
        <v>326</v>
      </c>
      <c r="E34" s="21">
        <v>215</v>
      </c>
      <c r="F34" s="22">
        <v>0.6595092024539877</v>
      </c>
      <c r="G34" s="62">
        <f>R34+AC34+AN34+AY34+BJ34+BU34+67</f>
        <v>326</v>
      </c>
      <c r="H34" s="83">
        <f>S34+AD34+AO34+AZ34+BK34+BV34+62</f>
        <v>326</v>
      </c>
      <c r="I34" s="60">
        <f>T34+AE34+AP34+BA34++BL34+BW34+37</f>
        <v>229</v>
      </c>
      <c r="J34" s="59">
        <f t="shared" si="0"/>
        <v>0.7024539877300614</v>
      </c>
      <c r="K34" s="182"/>
      <c r="L34" s="182"/>
      <c r="M34" s="49">
        <f>X34+AI34+AT34+BE34+BP34+CA34+37</f>
        <v>234</v>
      </c>
      <c r="N34" s="16">
        <f>M34/H34</f>
        <v>0.71779141104294475</v>
      </c>
      <c r="O34" s="21">
        <v>92</v>
      </c>
      <c r="P34" s="21">
        <v>70</v>
      </c>
      <c r="Q34" s="22">
        <v>0.76086956521739135</v>
      </c>
      <c r="R34" s="60">
        <v>92</v>
      </c>
      <c r="S34" s="87">
        <v>96</v>
      </c>
      <c r="T34" s="62">
        <v>76</v>
      </c>
      <c r="U34" s="61">
        <f t="shared" si="1"/>
        <v>0.82608695652173914</v>
      </c>
      <c r="V34" s="185"/>
      <c r="W34" s="185"/>
      <c r="X34" s="83">
        <v>80</v>
      </c>
      <c r="Y34" s="80">
        <f t="shared" si="2"/>
        <v>0.83333333333333337</v>
      </c>
      <c r="Z34" s="21">
        <v>6</v>
      </c>
      <c r="AA34" s="21">
        <v>3</v>
      </c>
      <c r="AB34" s="22">
        <v>0.5</v>
      </c>
      <c r="AC34" s="60">
        <v>6</v>
      </c>
      <c r="AD34" s="87">
        <v>7</v>
      </c>
      <c r="AE34" s="62">
        <v>4</v>
      </c>
      <c r="AF34" s="61">
        <f t="shared" si="3"/>
        <v>0.66666666666666663</v>
      </c>
      <c r="AG34" s="185"/>
      <c r="AH34" s="185"/>
      <c r="AI34" s="83">
        <v>5</v>
      </c>
      <c r="AJ34" s="80">
        <f t="shared" si="4"/>
        <v>0.7142857142857143</v>
      </c>
      <c r="AK34" s="21">
        <v>55</v>
      </c>
      <c r="AL34" s="21">
        <v>30</v>
      </c>
      <c r="AM34" s="22">
        <v>0.54545454545454541</v>
      </c>
      <c r="AN34" s="60">
        <v>55</v>
      </c>
      <c r="AO34" s="87">
        <v>55</v>
      </c>
      <c r="AP34" s="62">
        <v>37</v>
      </c>
      <c r="AQ34" s="61">
        <f t="shared" si="5"/>
        <v>0.67272727272727273</v>
      </c>
      <c r="AR34" s="185"/>
      <c r="AS34" s="185"/>
      <c r="AT34" s="83">
        <v>37</v>
      </c>
      <c r="AU34" s="80">
        <f t="shared" si="6"/>
        <v>0.67272727272727273</v>
      </c>
      <c r="AV34" s="21">
        <v>93</v>
      </c>
      <c r="AW34" s="21">
        <v>64</v>
      </c>
      <c r="AX34" s="22">
        <v>0.68817204301075274</v>
      </c>
      <c r="AY34" s="60">
        <v>93</v>
      </c>
      <c r="AZ34" s="87">
        <v>93</v>
      </c>
      <c r="BA34" s="62">
        <v>65</v>
      </c>
      <c r="BB34" s="61">
        <f t="shared" si="7"/>
        <v>0.69892473118279574</v>
      </c>
      <c r="BC34" s="185"/>
      <c r="BD34" s="185"/>
      <c r="BE34" s="83">
        <v>65</v>
      </c>
      <c r="BF34" s="80">
        <f t="shared" si="8"/>
        <v>0.69892473118279574</v>
      </c>
      <c r="BG34" s="21">
        <v>3</v>
      </c>
      <c r="BH34" s="21">
        <v>3</v>
      </c>
      <c r="BI34" s="22">
        <v>1</v>
      </c>
      <c r="BJ34" s="60">
        <v>3</v>
      </c>
      <c r="BK34" s="87">
        <v>3</v>
      </c>
      <c r="BL34" s="62">
        <v>3</v>
      </c>
      <c r="BM34" s="61">
        <f t="shared" si="13"/>
        <v>1</v>
      </c>
      <c r="BN34" s="185"/>
      <c r="BO34" s="185"/>
      <c r="BP34" s="83">
        <v>3</v>
      </c>
      <c r="BQ34" s="80">
        <f t="shared" si="14"/>
        <v>1</v>
      </c>
      <c r="BR34" s="21">
        <v>10</v>
      </c>
      <c r="BS34" s="21">
        <v>7</v>
      </c>
      <c r="BT34" s="22">
        <v>0.7</v>
      </c>
      <c r="BU34" s="60">
        <v>10</v>
      </c>
      <c r="BV34" s="87">
        <v>10</v>
      </c>
      <c r="BW34" s="62">
        <v>7</v>
      </c>
      <c r="BX34" s="61">
        <f t="shared" si="9"/>
        <v>0.7</v>
      </c>
      <c r="BY34" s="185"/>
      <c r="BZ34" s="185"/>
      <c r="CA34" s="83">
        <v>7</v>
      </c>
      <c r="CB34" s="80">
        <f t="shared" si="10"/>
        <v>0.7</v>
      </c>
      <c r="CC34" s="113" t="s">
        <v>163</v>
      </c>
      <c r="CD34" s="114"/>
    </row>
    <row r="35" spans="1:82" ht="265.5" customHeight="1">
      <c r="A35" s="15">
        <v>28</v>
      </c>
      <c r="B35" s="92" t="s">
        <v>34</v>
      </c>
      <c r="C35" s="14" t="s">
        <v>238</v>
      </c>
      <c r="D35" s="21">
        <f>O35+Z35+AK35+AV35+BG35+BR35+399+53</f>
        <v>1974</v>
      </c>
      <c r="E35" s="21">
        <f>P35+AA35+AL35+AW35+BH35+BS35+194+50</f>
        <v>869</v>
      </c>
      <c r="F35" s="22">
        <f>E35/D35</f>
        <v>0.44022289766970618</v>
      </c>
      <c r="G35" s="62">
        <f>R35+AC35+AN35+AY35+BJ35+BU35+969</f>
        <v>2475</v>
      </c>
      <c r="H35" s="83">
        <f>S35+AD35+AO35+AZ35+BK35+BV35+969</f>
        <v>2475</v>
      </c>
      <c r="I35" s="60">
        <f>T35+AE35+AP35+BA35++BL35+BW35+599</f>
        <v>1361</v>
      </c>
      <c r="J35" s="59">
        <f t="shared" si="0"/>
        <v>0.54989898989898989</v>
      </c>
      <c r="K35" s="182"/>
      <c r="L35" s="182"/>
      <c r="M35" s="49">
        <f>X35+AI35+AT35+BE35+BP35+CA35+599</f>
        <v>1424</v>
      </c>
      <c r="N35" s="16">
        <f>M35/H35</f>
        <v>0.57535353535353539</v>
      </c>
      <c r="O35" s="31">
        <v>142</v>
      </c>
      <c r="P35" s="31">
        <v>105</v>
      </c>
      <c r="Q35" s="22">
        <f>P35/O35</f>
        <v>0.73943661971830987</v>
      </c>
      <c r="R35" s="60">
        <v>142</v>
      </c>
      <c r="S35" s="87">
        <v>142</v>
      </c>
      <c r="T35" s="62">
        <v>108</v>
      </c>
      <c r="U35" s="61">
        <f t="shared" si="1"/>
        <v>0.76056338028169013</v>
      </c>
      <c r="V35" s="185"/>
      <c r="W35" s="185"/>
      <c r="X35" s="83">
        <v>111</v>
      </c>
      <c r="Y35" s="80">
        <f t="shared" si="2"/>
        <v>0.78169014084507038</v>
      </c>
      <c r="Z35" s="31">
        <v>53</v>
      </c>
      <c r="AA35" s="31">
        <v>10</v>
      </c>
      <c r="AB35" s="22">
        <f>AA35/Z35</f>
        <v>0.18867924528301888</v>
      </c>
      <c r="AC35" s="60">
        <v>53</v>
      </c>
      <c r="AD35" s="87">
        <v>53</v>
      </c>
      <c r="AE35" s="62">
        <v>11</v>
      </c>
      <c r="AF35" s="61">
        <f t="shared" si="3"/>
        <v>0.20754716981132076</v>
      </c>
      <c r="AG35" s="185"/>
      <c r="AH35" s="185"/>
      <c r="AI35" s="83">
        <v>11</v>
      </c>
      <c r="AJ35" s="80">
        <f t="shared" si="4"/>
        <v>0.20754716981132076</v>
      </c>
      <c r="AK35" s="31">
        <v>466</v>
      </c>
      <c r="AL35" s="31">
        <v>207</v>
      </c>
      <c r="AM35" s="22">
        <f>AL35/AK35</f>
        <v>0.44420600858369097</v>
      </c>
      <c r="AN35" s="60">
        <v>418</v>
      </c>
      <c r="AO35" s="87">
        <v>418</v>
      </c>
      <c r="AP35" s="62">
        <v>227</v>
      </c>
      <c r="AQ35" s="61">
        <f t="shared" si="5"/>
        <v>0.5430622009569378</v>
      </c>
      <c r="AR35" s="185"/>
      <c r="AS35" s="185"/>
      <c r="AT35" s="83">
        <v>250</v>
      </c>
      <c r="AU35" s="80">
        <f t="shared" si="6"/>
        <v>0.59808612440191389</v>
      </c>
      <c r="AV35" s="31">
        <v>618</v>
      </c>
      <c r="AW35" s="31">
        <v>250</v>
      </c>
      <c r="AX35" s="22">
        <f>AW35/AV35</f>
        <v>0.4045307443365696</v>
      </c>
      <c r="AY35" s="60">
        <v>727</v>
      </c>
      <c r="AZ35" s="87">
        <v>727</v>
      </c>
      <c r="BA35" s="62">
        <v>311</v>
      </c>
      <c r="BB35" s="61">
        <f t="shared" si="7"/>
        <v>0.42778541953232463</v>
      </c>
      <c r="BC35" s="185"/>
      <c r="BD35" s="185"/>
      <c r="BE35" s="83">
        <v>341</v>
      </c>
      <c r="BF35" s="80">
        <f t="shared" si="8"/>
        <v>0.469050894085282</v>
      </c>
      <c r="BG35" s="31">
        <v>110</v>
      </c>
      <c r="BH35" s="31">
        <v>15</v>
      </c>
      <c r="BI35" s="22">
        <f>BH35/BG35</f>
        <v>0.13636363636363635</v>
      </c>
      <c r="BJ35" s="60">
        <v>16</v>
      </c>
      <c r="BK35" s="87">
        <v>16</v>
      </c>
      <c r="BL35" s="62">
        <v>9</v>
      </c>
      <c r="BM35" s="61">
        <f t="shared" si="13"/>
        <v>0.5625</v>
      </c>
      <c r="BN35" s="185"/>
      <c r="BO35" s="185"/>
      <c r="BP35" s="83">
        <v>12</v>
      </c>
      <c r="BQ35" s="80">
        <f t="shared" si="14"/>
        <v>0.75</v>
      </c>
      <c r="BR35" s="31">
        <v>133</v>
      </c>
      <c r="BS35" s="31">
        <v>38</v>
      </c>
      <c r="BT35" s="22">
        <f>BS35/BR35</f>
        <v>0.2857142857142857</v>
      </c>
      <c r="BU35" s="60">
        <v>150</v>
      </c>
      <c r="BV35" s="87">
        <v>150</v>
      </c>
      <c r="BW35" s="62">
        <v>96</v>
      </c>
      <c r="BX35" s="61">
        <f t="shared" si="9"/>
        <v>0.64</v>
      </c>
      <c r="BY35" s="185"/>
      <c r="BZ35" s="185"/>
      <c r="CA35" s="83">
        <v>100</v>
      </c>
      <c r="CB35" s="80">
        <f t="shared" si="10"/>
        <v>0.66666666666666663</v>
      </c>
      <c r="CC35" s="113" t="s">
        <v>237</v>
      </c>
      <c r="CD35" s="119"/>
    </row>
    <row r="36" spans="1:82" ht="30">
      <c r="A36" s="15">
        <v>29</v>
      </c>
      <c r="B36" s="95" t="s">
        <v>35</v>
      </c>
      <c r="C36" s="13" t="s">
        <v>137</v>
      </c>
      <c r="D36" s="21">
        <f>O36+Z36+AK36+AV36+BG36+BR36+145</f>
        <v>1765</v>
      </c>
      <c r="E36" s="21">
        <f>P36+AA36+AL36+AW36+BH36+BS36+33</f>
        <v>971</v>
      </c>
      <c r="F36" s="22">
        <f>E36/D36</f>
        <v>0.55014164305949009</v>
      </c>
      <c r="G36" s="62">
        <f>R36+AC36+AN36+AY36+BJ36+BU36+145</f>
        <v>1765</v>
      </c>
      <c r="H36" s="83">
        <f>S36+AD36+AO36+AZ36+BK36+BV36+145</f>
        <v>1765</v>
      </c>
      <c r="I36" s="60">
        <f>T36+AE36+AP36+BA36++BL36+BW36+33</f>
        <v>1055</v>
      </c>
      <c r="J36" s="59">
        <f t="shared" si="0"/>
        <v>0.59773371104815864</v>
      </c>
      <c r="K36" s="182"/>
      <c r="L36" s="182"/>
      <c r="M36" s="49">
        <f>X36+AI36+AT36+BE36+BP36+CA36+33</f>
        <v>1084</v>
      </c>
      <c r="N36" s="16">
        <f>M36/H36</f>
        <v>0.6141643059490085</v>
      </c>
      <c r="O36" s="21">
        <v>187</v>
      </c>
      <c r="P36" s="21">
        <v>146</v>
      </c>
      <c r="Q36" s="22">
        <f>P36/O36</f>
        <v>0.78074866310160429</v>
      </c>
      <c r="R36" s="60">
        <v>187</v>
      </c>
      <c r="S36" s="87">
        <v>187</v>
      </c>
      <c r="T36" s="62">
        <v>166</v>
      </c>
      <c r="U36" s="61">
        <f t="shared" si="1"/>
        <v>0.88770053475935828</v>
      </c>
      <c r="V36" s="185"/>
      <c r="W36" s="185"/>
      <c r="X36" s="83">
        <v>169</v>
      </c>
      <c r="Y36" s="80">
        <f t="shared" si="2"/>
        <v>0.90374331550802134</v>
      </c>
      <c r="Z36" s="21">
        <v>35</v>
      </c>
      <c r="AA36" s="21">
        <v>25</v>
      </c>
      <c r="AB36" s="22">
        <f>AA36/Z36</f>
        <v>0.7142857142857143</v>
      </c>
      <c r="AC36" s="60">
        <v>35</v>
      </c>
      <c r="AD36" s="87">
        <v>35</v>
      </c>
      <c r="AE36" s="62">
        <v>32</v>
      </c>
      <c r="AF36" s="61">
        <f t="shared" si="3"/>
        <v>0.91428571428571426</v>
      </c>
      <c r="AG36" s="185"/>
      <c r="AH36" s="185"/>
      <c r="AI36" s="83">
        <v>33</v>
      </c>
      <c r="AJ36" s="80">
        <f t="shared" si="4"/>
        <v>0.94285714285714284</v>
      </c>
      <c r="AK36" s="21">
        <v>611</v>
      </c>
      <c r="AL36" s="21">
        <v>338</v>
      </c>
      <c r="AM36" s="22">
        <f>AL36/AK36</f>
        <v>0.55319148936170215</v>
      </c>
      <c r="AN36" s="60">
        <v>611</v>
      </c>
      <c r="AO36" s="87">
        <v>611</v>
      </c>
      <c r="AP36" s="62">
        <v>352</v>
      </c>
      <c r="AQ36" s="61">
        <f t="shared" si="5"/>
        <v>0.5761047463175123</v>
      </c>
      <c r="AR36" s="185"/>
      <c r="AS36" s="185"/>
      <c r="AT36" s="83">
        <v>355</v>
      </c>
      <c r="AU36" s="80">
        <f t="shared" si="6"/>
        <v>0.5810147299509002</v>
      </c>
      <c r="AV36" s="21">
        <v>551</v>
      </c>
      <c r="AW36" s="21">
        <v>261</v>
      </c>
      <c r="AX36" s="22">
        <f>AW36/AV36</f>
        <v>0.47368421052631576</v>
      </c>
      <c r="AY36" s="60">
        <v>551</v>
      </c>
      <c r="AZ36" s="87">
        <v>551</v>
      </c>
      <c r="BA36" s="62">
        <v>302</v>
      </c>
      <c r="BB36" s="61">
        <f t="shared" si="7"/>
        <v>0.5480943738656987</v>
      </c>
      <c r="BC36" s="185"/>
      <c r="BD36" s="185"/>
      <c r="BE36" s="83">
        <v>323</v>
      </c>
      <c r="BF36" s="80">
        <f t="shared" si="8"/>
        <v>0.58620689655172409</v>
      </c>
      <c r="BG36" s="21">
        <v>147</v>
      </c>
      <c r="BH36" s="21">
        <v>115</v>
      </c>
      <c r="BI36" s="22">
        <f>BH36/BG36</f>
        <v>0.78231292517006801</v>
      </c>
      <c r="BJ36" s="60">
        <v>147</v>
      </c>
      <c r="BK36" s="87">
        <v>147</v>
      </c>
      <c r="BL36" s="62">
        <v>115</v>
      </c>
      <c r="BM36" s="61">
        <f t="shared" si="13"/>
        <v>0.78231292517006801</v>
      </c>
      <c r="BN36" s="185"/>
      <c r="BO36" s="185"/>
      <c r="BP36" s="83">
        <v>115</v>
      </c>
      <c r="BQ36" s="80">
        <f t="shared" si="14"/>
        <v>0.78231292517006801</v>
      </c>
      <c r="BR36" s="21">
        <v>89</v>
      </c>
      <c r="BS36" s="21">
        <v>53</v>
      </c>
      <c r="BT36" s="22">
        <f>BS36/BR36</f>
        <v>0.5955056179775281</v>
      </c>
      <c r="BU36" s="60">
        <v>89</v>
      </c>
      <c r="BV36" s="87">
        <v>89</v>
      </c>
      <c r="BW36" s="62">
        <v>55</v>
      </c>
      <c r="BX36" s="61">
        <f t="shared" si="9"/>
        <v>0.6179775280898876</v>
      </c>
      <c r="BY36" s="185"/>
      <c r="BZ36" s="185"/>
      <c r="CA36" s="83">
        <v>56</v>
      </c>
      <c r="CB36" s="80">
        <f t="shared" si="10"/>
        <v>0.6292134831460674</v>
      </c>
      <c r="CC36" s="12"/>
      <c r="CD36" s="12"/>
    </row>
    <row r="37" spans="1:82" ht="66" customHeight="1">
      <c r="A37" s="15">
        <v>30</v>
      </c>
      <c r="B37" s="92" t="s">
        <v>36</v>
      </c>
      <c r="C37" s="13" t="s">
        <v>164</v>
      </c>
      <c r="D37" s="21">
        <v>583</v>
      </c>
      <c r="E37" s="21">
        <v>376</v>
      </c>
      <c r="F37" s="22">
        <v>0.6449399656946827</v>
      </c>
      <c r="G37" s="62">
        <f>R37+AC37+AN37+AY37+BJ37+BU37+43</f>
        <v>583</v>
      </c>
      <c r="H37" s="83">
        <f>S37+AD37+AO37+AZ37+BK37+BV37+43</f>
        <v>583</v>
      </c>
      <c r="I37" s="60">
        <f>T37+AE37+AP37+BA37++BL37+BW37+43</f>
        <v>414</v>
      </c>
      <c r="J37" s="59">
        <f t="shared" si="0"/>
        <v>0.7101200686106347</v>
      </c>
      <c r="K37" s="182"/>
      <c r="L37" s="182"/>
      <c r="M37" s="49">
        <f>X37+AI37+AT37+BE37+BP37+CA37+43</f>
        <v>425</v>
      </c>
      <c r="N37" s="16">
        <f>M37/H37</f>
        <v>0.72898799313893659</v>
      </c>
      <c r="O37" s="31">
        <v>44</v>
      </c>
      <c r="P37" s="31">
        <v>28</v>
      </c>
      <c r="Q37" s="22">
        <v>0.63636363636363635</v>
      </c>
      <c r="R37" s="60">
        <v>44</v>
      </c>
      <c r="S37" s="87">
        <v>44</v>
      </c>
      <c r="T37" s="62">
        <v>32</v>
      </c>
      <c r="U37" s="61">
        <f t="shared" si="1"/>
        <v>0.72727272727272729</v>
      </c>
      <c r="V37" s="185"/>
      <c r="W37" s="185"/>
      <c r="X37" s="83">
        <v>38</v>
      </c>
      <c r="Y37" s="80">
        <f t="shared" si="2"/>
        <v>0.86363636363636365</v>
      </c>
      <c r="Z37" s="31">
        <v>27</v>
      </c>
      <c r="AA37" s="31">
        <v>14</v>
      </c>
      <c r="AB37" s="22">
        <v>0.51851851851851849</v>
      </c>
      <c r="AC37" s="60">
        <v>27</v>
      </c>
      <c r="AD37" s="87">
        <v>27</v>
      </c>
      <c r="AE37" s="62">
        <v>18</v>
      </c>
      <c r="AF37" s="61">
        <f t="shared" si="3"/>
        <v>0.66666666666666663</v>
      </c>
      <c r="AG37" s="185"/>
      <c r="AH37" s="185"/>
      <c r="AI37" s="83">
        <v>23</v>
      </c>
      <c r="AJ37" s="80">
        <f t="shared" si="4"/>
        <v>0.85185185185185186</v>
      </c>
      <c r="AK37" s="31">
        <v>97</v>
      </c>
      <c r="AL37" s="31">
        <v>56</v>
      </c>
      <c r="AM37" s="22">
        <v>0.57731958762886593</v>
      </c>
      <c r="AN37" s="60">
        <v>97</v>
      </c>
      <c r="AO37" s="87">
        <v>97</v>
      </c>
      <c r="AP37" s="62">
        <v>61</v>
      </c>
      <c r="AQ37" s="61">
        <f t="shared" si="5"/>
        <v>0.62886597938144329</v>
      </c>
      <c r="AR37" s="185"/>
      <c r="AS37" s="185"/>
      <c r="AT37" s="83">
        <v>61</v>
      </c>
      <c r="AU37" s="80">
        <f t="shared" si="6"/>
        <v>0.62886597938144329</v>
      </c>
      <c r="AV37" s="31">
        <v>216</v>
      </c>
      <c r="AW37" s="31">
        <v>117</v>
      </c>
      <c r="AX37" s="22">
        <v>0.54166666666666663</v>
      </c>
      <c r="AY37" s="60">
        <v>216</v>
      </c>
      <c r="AZ37" s="87">
        <v>216</v>
      </c>
      <c r="BA37" s="62">
        <v>136</v>
      </c>
      <c r="BB37" s="61">
        <f t="shared" si="7"/>
        <v>0.62962962962962965</v>
      </c>
      <c r="BC37" s="185"/>
      <c r="BD37" s="185"/>
      <c r="BE37" s="83">
        <v>136</v>
      </c>
      <c r="BF37" s="80">
        <f t="shared" si="8"/>
        <v>0.62962962962962965</v>
      </c>
      <c r="BG37" s="31">
        <v>60</v>
      </c>
      <c r="BH37" s="31">
        <v>60</v>
      </c>
      <c r="BI37" s="22">
        <v>1</v>
      </c>
      <c r="BJ37" s="60">
        <v>60</v>
      </c>
      <c r="BK37" s="87">
        <v>60</v>
      </c>
      <c r="BL37" s="62">
        <v>60</v>
      </c>
      <c r="BM37" s="61">
        <f t="shared" si="13"/>
        <v>1</v>
      </c>
      <c r="BN37" s="185"/>
      <c r="BO37" s="185"/>
      <c r="BP37" s="83">
        <v>60</v>
      </c>
      <c r="BQ37" s="80">
        <f t="shared" si="14"/>
        <v>1</v>
      </c>
      <c r="BR37" s="31">
        <v>96</v>
      </c>
      <c r="BS37" s="31">
        <v>58</v>
      </c>
      <c r="BT37" s="22">
        <v>0.60416666666666663</v>
      </c>
      <c r="BU37" s="60">
        <v>96</v>
      </c>
      <c r="BV37" s="87">
        <v>96</v>
      </c>
      <c r="BW37" s="62">
        <v>64</v>
      </c>
      <c r="BX37" s="61">
        <f t="shared" si="9"/>
        <v>0.66666666666666663</v>
      </c>
      <c r="BY37" s="185"/>
      <c r="BZ37" s="185"/>
      <c r="CA37" s="83">
        <v>64</v>
      </c>
      <c r="CB37" s="80">
        <f t="shared" si="10"/>
        <v>0.66666666666666663</v>
      </c>
      <c r="CC37" s="12"/>
      <c r="CD37" s="12"/>
    </row>
    <row r="38" spans="1:82" ht="235.5" customHeight="1">
      <c r="A38" s="15">
        <v>31</v>
      </c>
      <c r="B38" s="95" t="s">
        <v>37</v>
      </c>
      <c r="C38" s="13" t="s">
        <v>161</v>
      </c>
      <c r="D38" s="21">
        <f>O38+Z38+AK38+AV38+BG38+BR38+19+51+4</f>
        <v>236</v>
      </c>
      <c r="E38" s="21">
        <f>P38+AA38+AL38+AW38+BH38+BS38+19+25</f>
        <v>146</v>
      </c>
      <c r="F38" s="22">
        <f>E38/D38</f>
        <v>0.61864406779661019</v>
      </c>
      <c r="G38" s="62">
        <f>R38+AC38+AN38+AY38+BJ38+BU38+19+4+51</f>
        <v>236</v>
      </c>
      <c r="H38" s="83">
        <f>S38+AD38+AO38+AZ38+BK38+BV38+19+4+51</f>
        <v>236</v>
      </c>
      <c r="I38" s="60">
        <f>T38+AE38+AP38+BA38++BL38+BW38+19+25</f>
        <v>154</v>
      </c>
      <c r="J38" s="59">
        <f t="shared" si="0"/>
        <v>0.65254237288135597</v>
      </c>
      <c r="K38" s="182"/>
      <c r="L38" s="182"/>
      <c r="M38" s="49">
        <f>X38+AI38+AT38+BE38+BP38+CA38+19+25</f>
        <v>160</v>
      </c>
      <c r="N38" s="16">
        <f>M38/H38</f>
        <v>0.67796610169491522</v>
      </c>
      <c r="O38" s="21">
        <v>63</v>
      </c>
      <c r="P38" s="21">
        <v>40</v>
      </c>
      <c r="Q38" s="22">
        <f>P38/O38</f>
        <v>0.63492063492063489</v>
      </c>
      <c r="R38" s="60">
        <v>63</v>
      </c>
      <c r="S38" s="87">
        <v>63</v>
      </c>
      <c r="T38" s="62">
        <v>43</v>
      </c>
      <c r="U38" s="61">
        <f t="shared" si="1"/>
        <v>0.68253968253968256</v>
      </c>
      <c r="V38" s="185"/>
      <c r="W38" s="185"/>
      <c r="X38" s="83">
        <v>46</v>
      </c>
      <c r="Y38" s="80">
        <f t="shared" si="2"/>
        <v>0.73015873015873012</v>
      </c>
      <c r="Z38" s="21">
        <v>14</v>
      </c>
      <c r="AA38" s="21">
        <v>14</v>
      </c>
      <c r="AB38" s="22">
        <f>AA38/Z38</f>
        <v>1</v>
      </c>
      <c r="AC38" s="60">
        <v>14</v>
      </c>
      <c r="AD38" s="87">
        <v>14</v>
      </c>
      <c r="AE38" s="62">
        <v>14</v>
      </c>
      <c r="AF38" s="61">
        <f t="shared" si="3"/>
        <v>1</v>
      </c>
      <c r="AG38" s="185"/>
      <c r="AH38" s="185"/>
      <c r="AI38" s="83">
        <v>14</v>
      </c>
      <c r="AJ38" s="80">
        <f t="shared" si="4"/>
        <v>1</v>
      </c>
      <c r="AK38" s="21">
        <v>25</v>
      </c>
      <c r="AL38" s="21">
        <v>14</v>
      </c>
      <c r="AM38" s="22">
        <f>AL38/AK38</f>
        <v>0.56000000000000005</v>
      </c>
      <c r="AN38" s="60">
        <v>25</v>
      </c>
      <c r="AO38" s="87">
        <v>25</v>
      </c>
      <c r="AP38" s="62">
        <v>16</v>
      </c>
      <c r="AQ38" s="61">
        <f t="shared" si="5"/>
        <v>0.64</v>
      </c>
      <c r="AR38" s="185"/>
      <c r="AS38" s="185"/>
      <c r="AT38" s="83">
        <v>17</v>
      </c>
      <c r="AU38" s="80">
        <f t="shared" si="6"/>
        <v>0.68</v>
      </c>
      <c r="AV38" s="21">
        <v>40</v>
      </c>
      <c r="AW38" s="21">
        <v>20</v>
      </c>
      <c r="AX38" s="22">
        <f>AW38/AV38</f>
        <v>0.5</v>
      </c>
      <c r="AY38" s="60">
        <v>40</v>
      </c>
      <c r="AZ38" s="87">
        <v>40</v>
      </c>
      <c r="BA38" s="62">
        <v>21</v>
      </c>
      <c r="BB38" s="61">
        <f t="shared" si="7"/>
        <v>0.52500000000000002</v>
      </c>
      <c r="BC38" s="185"/>
      <c r="BD38" s="185"/>
      <c r="BE38" s="83">
        <v>22</v>
      </c>
      <c r="BF38" s="80">
        <f t="shared" si="8"/>
        <v>0.55000000000000004</v>
      </c>
      <c r="BG38" s="21">
        <v>6</v>
      </c>
      <c r="BH38" s="21">
        <v>5</v>
      </c>
      <c r="BI38" s="22">
        <f>BH38/BG38</f>
        <v>0.83333333333333337</v>
      </c>
      <c r="BJ38" s="60">
        <v>6</v>
      </c>
      <c r="BK38" s="87">
        <v>6</v>
      </c>
      <c r="BL38" s="62">
        <v>6</v>
      </c>
      <c r="BM38" s="61">
        <f t="shared" si="13"/>
        <v>1</v>
      </c>
      <c r="BN38" s="185"/>
      <c r="BO38" s="185"/>
      <c r="BP38" s="83">
        <v>6</v>
      </c>
      <c r="BQ38" s="80">
        <f t="shared" si="14"/>
        <v>1</v>
      </c>
      <c r="BR38" s="21">
        <v>14</v>
      </c>
      <c r="BS38" s="21">
        <v>9</v>
      </c>
      <c r="BT38" s="22">
        <f>BS38/BR38</f>
        <v>0.6428571428571429</v>
      </c>
      <c r="BU38" s="60">
        <v>14</v>
      </c>
      <c r="BV38" s="87">
        <v>14</v>
      </c>
      <c r="BW38" s="62">
        <v>10</v>
      </c>
      <c r="BX38" s="61">
        <f t="shared" si="9"/>
        <v>0.7142857142857143</v>
      </c>
      <c r="BY38" s="185"/>
      <c r="BZ38" s="185"/>
      <c r="CA38" s="83">
        <v>11</v>
      </c>
      <c r="CB38" s="80">
        <f t="shared" si="10"/>
        <v>0.7857142857142857</v>
      </c>
      <c r="CC38" s="12"/>
      <c r="CD38" s="12"/>
    </row>
    <row r="39" spans="1:82" ht="189.75" customHeight="1">
      <c r="A39" s="15">
        <v>32</v>
      </c>
      <c r="B39" s="95" t="s">
        <v>38</v>
      </c>
      <c r="C39" s="13" t="s">
        <v>166</v>
      </c>
      <c r="D39" s="21">
        <f>O39+Z39+AK39+AV39+BG39+BR39+109</f>
        <v>381</v>
      </c>
      <c r="E39" s="21">
        <f>P39+AA39+AL39+AW39+BH39+BS39+59</f>
        <v>207</v>
      </c>
      <c r="F39" s="22">
        <f>E39/D39</f>
        <v>0.54330708661417326</v>
      </c>
      <c r="G39" s="62">
        <f>R39+AC39+AN39+AY39+BJ39+BU39+109</f>
        <v>381</v>
      </c>
      <c r="H39" s="83">
        <f>S39+AD39+AO39+AZ39+BK39+BV39+109</f>
        <v>381</v>
      </c>
      <c r="I39" s="60">
        <f>T39+AE39+AP39+BA39++BL39+BW39+59</f>
        <v>225</v>
      </c>
      <c r="J39" s="60">
        <f t="shared" si="0"/>
        <v>0.59055118110236215</v>
      </c>
      <c r="K39" s="184"/>
      <c r="L39" s="184"/>
      <c r="M39" s="49">
        <f>X39+AI39+AT39+BE39+BP39+CA39+59</f>
        <v>229</v>
      </c>
      <c r="N39" s="16">
        <f>M39/H39</f>
        <v>0.60104986876640421</v>
      </c>
      <c r="O39" s="21">
        <v>59</v>
      </c>
      <c r="P39" s="21">
        <v>37</v>
      </c>
      <c r="Q39" s="22">
        <f>P39/O39</f>
        <v>0.6271186440677966</v>
      </c>
      <c r="R39" s="60">
        <v>59</v>
      </c>
      <c r="S39" s="87">
        <v>59</v>
      </c>
      <c r="T39" s="62">
        <v>40</v>
      </c>
      <c r="U39" s="61">
        <f t="shared" si="1"/>
        <v>0.67796610169491522</v>
      </c>
      <c r="V39" s="185"/>
      <c r="W39" s="185"/>
      <c r="X39" s="83">
        <v>40</v>
      </c>
      <c r="Y39" s="80">
        <f t="shared" si="2"/>
        <v>0.67796610169491522</v>
      </c>
      <c r="Z39" s="21">
        <v>21</v>
      </c>
      <c r="AA39" s="21">
        <v>10</v>
      </c>
      <c r="AB39" s="22">
        <f>AA39/Z39</f>
        <v>0.47619047619047616</v>
      </c>
      <c r="AC39" s="60">
        <v>21</v>
      </c>
      <c r="AD39" s="87">
        <v>21</v>
      </c>
      <c r="AE39" s="62">
        <v>13</v>
      </c>
      <c r="AF39" s="61">
        <f t="shared" si="3"/>
        <v>0.61904761904761907</v>
      </c>
      <c r="AG39" s="185"/>
      <c r="AH39" s="185"/>
      <c r="AI39" s="83">
        <v>13</v>
      </c>
      <c r="AJ39" s="80">
        <f t="shared" si="4"/>
        <v>0.61904761904761907</v>
      </c>
      <c r="AK39" s="21">
        <v>75</v>
      </c>
      <c r="AL39" s="21">
        <v>39</v>
      </c>
      <c r="AM39" s="22">
        <f>AL39/AK39</f>
        <v>0.52</v>
      </c>
      <c r="AN39" s="60">
        <v>75</v>
      </c>
      <c r="AO39" s="87">
        <v>75</v>
      </c>
      <c r="AP39" s="62">
        <v>44</v>
      </c>
      <c r="AQ39" s="61">
        <f t="shared" si="5"/>
        <v>0.58666666666666667</v>
      </c>
      <c r="AR39" s="185"/>
      <c r="AS39" s="185"/>
      <c r="AT39" s="83">
        <v>44</v>
      </c>
      <c r="AU39" s="80">
        <f t="shared" si="6"/>
        <v>0.58666666666666667</v>
      </c>
      <c r="AV39" s="21">
        <v>88</v>
      </c>
      <c r="AW39" s="21">
        <v>42</v>
      </c>
      <c r="AX39" s="22">
        <f>AW39/AV39</f>
        <v>0.47727272727272729</v>
      </c>
      <c r="AY39" s="60">
        <v>88</v>
      </c>
      <c r="AZ39" s="87">
        <v>88</v>
      </c>
      <c r="BA39" s="62">
        <v>47</v>
      </c>
      <c r="BB39" s="61">
        <f t="shared" si="7"/>
        <v>0.53409090909090906</v>
      </c>
      <c r="BC39" s="185"/>
      <c r="BD39" s="185"/>
      <c r="BE39" s="83">
        <v>51</v>
      </c>
      <c r="BF39" s="80">
        <f t="shared" si="8"/>
        <v>0.57954545454545459</v>
      </c>
      <c r="BG39" s="21">
        <v>1</v>
      </c>
      <c r="BH39" s="21">
        <v>1</v>
      </c>
      <c r="BI39" s="22">
        <f>BH39/BG39</f>
        <v>1</v>
      </c>
      <c r="BJ39" s="60">
        <v>1</v>
      </c>
      <c r="BK39" s="87">
        <v>1</v>
      </c>
      <c r="BL39" s="62">
        <v>1</v>
      </c>
      <c r="BM39" s="61">
        <f t="shared" si="13"/>
        <v>1</v>
      </c>
      <c r="BN39" s="185"/>
      <c r="BO39" s="185"/>
      <c r="BP39" s="83">
        <v>1</v>
      </c>
      <c r="BQ39" s="80">
        <f t="shared" si="14"/>
        <v>1</v>
      </c>
      <c r="BR39" s="21">
        <v>28</v>
      </c>
      <c r="BS39" s="21">
        <v>19</v>
      </c>
      <c r="BT39" s="22">
        <f>BS39/BR39</f>
        <v>0.6785714285714286</v>
      </c>
      <c r="BU39" s="60">
        <v>28</v>
      </c>
      <c r="BV39" s="87">
        <v>28</v>
      </c>
      <c r="BW39" s="62">
        <v>21</v>
      </c>
      <c r="BX39" s="61">
        <f t="shared" si="9"/>
        <v>0.75</v>
      </c>
      <c r="BY39" s="185"/>
      <c r="BZ39" s="185"/>
      <c r="CA39" s="83">
        <v>21</v>
      </c>
      <c r="CB39" s="80">
        <f t="shared" si="10"/>
        <v>0.75</v>
      </c>
      <c r="CC39" s="113" t="s">
        <v>165</v>
      </c>
      <c r="CD39" s="114"/>
    </row>
    <row r="40" spans="1:82" ht="30">
      <c r="A40" s="15">
        <v>33</v>
      </c>
      <c r="B40" s="92" t="s">
        <v>39</v>
      </c>
      <c r="C40" s="14" t="s">
        <v>171</v>
      </c>
      <c r="D40" s="21">
        <f>O40+Z40+AK40+AV40+BG40+BR40+12</f>
        <v>180</v>
      </c>
      <c r="E40" s="21">
        <f>P40+AA40+AL40+AW40+BH40+BS40+12</f>
        <v>114</v>
      </c>
      <c r="F40" s="22">
        <f>E40/D40</f>
        <v>0.6333333333333333</v>
      </c>
      <c r="G40" s="62">
        <f>R40+AC40+AN40+AY40+BJ40+BU40+12</f>
        <v>180</v>
      </c>
      <c r="H40" s="83">
        <f>S40+AD40+AO40+AZ40+BK40+BV40+12</f>
        <v>180</v>
      </c>
      <c r="I40" s="60">
        <f>T40+AE40+AP40+BA40++BL40+BW40+12</f>
        <v>142</v>
      </c>
      <c r="J40" s="59">
        <f t="shared" si="0"/>
        <v>0.78888888888888886</v>
      </c>
      <c r="K40" s="182"/>
      <c r="L40" s="182"/>
      <c r="M40" s="49">
        <f>X40+AI40+AT40+BE40+BP40+CA40+12</f>
        <v>154</v>
      </c>
      <c r="N40" s="16">
        <f>M40/H40</f>
        <v>0.85555555555555551</v>
      </c>
      <c r="O40" s="21">
        <v>45</v>
      </c>
      <c r="P40" s="21">
        <v>21</v>
      </c>
      <c r="Q40" s="22">
        <f>P40/O40</f>
        <v>0.46666666666666667</v>
      </c>
      <c r="R40" s="60">
        <v>45</v>
      </c>
      <c r="S40" s="87">
        <v>45</v>
      </c>
      <c r="T40" s="62">
        <v>27</v>
      </c>
      <c r="U40" s="61">
        <f t="shared" si="1"/>
        <v>0.6</v>
      </c>
      <c r="V40" s="185"/>
      <c r="W40" s="185"/>
      <c r="X40" s="83">
        <v>31</v>
      </c>
      <c r="Y40" s="80">
        <f t="shared" si="2"/>
        <v>0.68888888888888888</v>
      </c>
      <c r="Z40" s="21">
        <v>22</v>
      </c>
      <c r="AA40" s="21">
        <v>11</v>
      </c>
      <c r="AB40" s="22">
        <f>AA40/Z40</f>
        <v>0.5</v>
      </c>
      <c r="AC40" s="60">
        <v>22</v>
      </c>
      <c r="AD40" s="87">
        <v>22</v>
      </c>
      <c r="AE40" s="62">
        <v>14</v>
      </c>
      <c r="AF40" s="61">
        <f t="shared" si="3"/>
        <v>0.63636363636363635</v>
      </c>
      <c r="AG40" s="185"/>
      <c r="AH40" s="185"/>
      <c r="AI40" s="83">
        <v>14</v>
      </c>
      <c r="AJ40" s="80">
        <f t="shared" si="4"/>
        <v>0.63636363636363635</v>
      </c>
      <c r="AK40" s="21">
        <v>50</v>
      </c>
      <c r="AL40" s="21">
        <v>49</v>
      </c>
      <c r="AM40" s="22">
        <f>AL40/AK40</f>
        <v>0.98</v>
      </c>
      <c r="AN40" s="60">
        <v>50</v>
      </c>
      <c r="AO40" s="87">
        <v>50</v>
      </c>
      <c r="AP40" s="62">
        <v>57</v>
      </c>
      <c r="AQ40" s="61">
        <f t="shared" si="5"/>
        <v>1.1399999999999999</v>
      </c>
      <c r="AR40" s="185"/>
      <c r="AS40" s="185"/>
      <c r="AT40" s="83">
        <v>65</v>
      </c>
      <c r="AU40" s="80">
        <f t="shared" si="6"/>
        <v>1.3</v>
      </c>
      <c r="AV40" s="21">
        <v>36</v>
      </c>
      <c r="AW40" s="21">
        <v>17</v>
      </c>
      <c r="AX40" s="22">
        <f>AW40/AV40</f>
        <v>0.47222222222222221</v>
      </c>
      <c r="AY40" s="60">
        <v>36</v>
      </c>
      <c r="AZ40" s="87">
        <v>36</v>
      </c>
      <c r="BA40" s="62">
        <v>24</v>
      </c>
      <c r="BB40" s="61">
        <f t="shared" si="7"/>
        <v>0.66666666666666663</v>
      </c>
      <c r="BC40" s="185"/>
      <c r="BD40" s="185"/>
      <c r="BE40" s="83">
        <v>24</v>
      </c>
      <c r="BF40" s="80">
        <f t="shared" si="8"/>
        <v>0.66666666666666663</v>
      </c>
      <c r="BG40" s="21">
        <v>0</v>
      </c>
      <c r="BH40" s="21">
        <v>0</v>
      </c>
      <c r="BI40" s="22">
        <v>0</v>
      </c>
      <c r="BJ40" s="60">
        <v>0</v>
      </c>
      <c r="BK40" s="87">
        <v>0</v>
      </c>
      <c r="BL40" s="62">
        <v>0</v>
      </c>
      <c r="BM40" s="61" t="e">
        <f t="shared" si="13"/>
        <v>#DIV/0!</v>
      </c>
      <c r="BN40" s="185"/>
      <c r="BO40" s="185"/>
      <c r="BP40" s="83">
        <v>0</v>
      </c>
      <c r="BQ40" s="80" t="e">
        <f t="shared" si="14"/>
        <v>#DIV/0!</v>
      </c>
      <c r="BR40" s="21">
        <v>15</v>
      </c>
      <c r="BS40" s="21">
        <v>4</v>
      </c>
      <c r="BT40" s="22">
        <f>BS40/BR40</f>
        <v>0.26666666666666666</v>
      </c>
      <c r="BU40" s="60">
        <v>15</v>
      </c>
      <c r="BV40" s="87">
        <v>15</v>
      </c>
      <c r="BW40" s="62">
        <v>8</v>
      </c>
      <c r="BX40" s="61">
        <f t="shared" si="9"/>
        <v>0.53333333333333333</v>
      </c>
      <c r="BY40" s="185"/>
      <c r="BZ40" s="185"/>
      <c r="CA40" s="83">
        <v>8</v>
      </c>
      <c r="CB40" s="80">
        <f t="shared" si="10"/>
        <v>0.53333333333333333</v>
      </c>
      <c r="CC40" s="112"/>
      <c r="CD40" s="112"/>
    </row>
    <row r="41" spans="1:82" ht="108" customHeight="1">
      <c r="A41" s="15">
        <v>34</v>
      </c>
      <c r="B41" s="92" t="s">
        <v>40</v>
      </c>
      <c r="C41" s="14" t="s">
        <v>172</v>
      </c>
      <c r="D41" s="21">
        <f>O41+Z41+AK41+AV41+BG41+BR41+8</f>
        <v>492</v>
      </c>
      <c r="E41" s="21">
        <f>P41+AA41+AL41+AW41+BH41+BS41+8</f>
        <v>169</v>
      </c>
      <c r="F41" s="22">
        <v>0.35365853658536583</v>
      </c>
      <c r="G41" s="62">
        <f>R41+AC41+AN41+AY41+BJ41+BU41+8</f>
        <v>492</v>
      </c>
      <c r="H41" s="83">
        <f>S41+AD41+AO41+AZ41+BK41+BV41+8</f>
        <v>492</v>
      </c>
      <c r="I41" s="60">
        <f>T41+AE41+AP41+BA41++BL41+BW41</f>
        <v>186</v>
      </c>
      <c r="J41" s="59">
        <f t="shared" si="0"/>
        <v>0.37804878048780488</v>
      </c>
      <c r="K41" s="182"/>
      <c r="L41" s="182"/>
      <c r="M41" s="49">
        <f>X41+AI41+AT41+BE41+BP41+CA41</f>
        <v>200</v>
      </c>
      <c r="N41" s="16">
        <f>M41/H41</f>
        <v>0.4065040650406504</v>
      </c>
      <c r="O41" s="21">
        <v>71</v>
      </c>
      <c r="P41" s="21">
        <v>28</v>
      </c>
      <c r="Q41" s="22">
        <v>0.39436619718309857</v>
      </c>
      <c r="R41" s="60">
        <v>71</v>
      </c>
      <c r="S41" s="87">
        <v>71</v>
      </c>
      <c r="T41" s="62">
        <v>39</v>
      </c>
      <c r="U41" s="61">
        <f t="shared" si="1"/>
        <v>0.54929577464788737</v>
      </c>
      <c r="V41" s="185"/>
      <c r="W41" s="185"/>
      <c r="X41" s="83">
        <v>50</v>
      </c>
      <c r="Y41" s="80">
        <f t="shared" si="2"/>
        <v>0.70422535211267601</v>
      </c>
      <c r="Z41" s="21">
        <v>12</v>
      </c>
      <c r="AA41" s="21">
        <v>10</v>
      </c>
      <c r="AB41" s="22">
        <v>0.83333333333333337</v>
      </c>
      <c r="AC41" s="60">
        <v>11</v>
      </c>
      <c r="AD41" s="87">
        <v>11</v>
      </c>
      <c r="AE41" s="62">
        <v>9</v>
      </c>
      <c r="AF41" s="61">
        <f t="shared" si="3"/>
        <v>0.81818181818181823</v>
      </c>
      <c r="AG41" s="185"/>
      <c r="AH41" s="185"/>
      <c r="AI41" s="83">
        <v>9</v>
      </c>
      <c r="AJ41" s="80">
        <f t="shared" si="4"/>
        <v>0.81818181818181823</v>
      </c>
      <c r="AK41" s="21">
        <v>346</v>
      </c>
      <c r="AL41" s="21">
        <v>82</v>
      </c>
      <c r="AM41" s="22">
        <v>0.23699421965317918</v>
      </c>
      <c r="AN41" s="60">
        <v>346</v>
      </c>
      <c r="AO41" s="87">
        <v>346</v>
      </c>
      <c r="AP41" s="62">
        <v>83</v>
      </c>
      <c r="AQ41" s="61">
        <f t="shared" si="5"/>
        <v>0.23988439306358381</v>
      </c>
      <c r="AR41" s="185"/>
      <c r="AS41" s="185"/>
      <c r="AT41" s="83">
        <v>85</v>
      </c>
      <c r="AU41" s="80">
        <f t="shared" si="6"/>
        <v>0.24566473988439305</v>
      </c>
      <c r="AV41" s="21">
        <v>39</v>
      </c>
      <c r="AW41" s="21">
        <v>27</v>
      </c>
      <c r="AX41" s="22">
        <v>0.69230769230769229</v>
      </c>
      <c r="AY41" s="60">
        <v>39</v>
      </c>
      <c r="AZ41" s="87">
        <v>39</v>
      </c>
      <c r="BA41" s="62">
        <v>39</v>
      </c>
      <c r="BB41" s="61">
        <f t="shared" si="7"/>
        <v>1</v>
      </c>
      <c r="BC41" s="185"/>
      <c r="BD41" s="185"/>
      <c r="BE41" s="83">
        <v>39</v>
      </c>
      <c r="BF41" s="80">
        <f t="shared" si="8"/>
        <v>1</v>
      </c>
      <c r="BG41" s="21">
        <v>4</v>
      </c>
      <c r="BH41" s="21">
        <v>4</v>
      </c>
      <c r="BI41" s="22">
        <v>1</v>
      </c>
      <c r="BJ41" s="60">
        <v>4</v>
      </c>
      <c r="BK41" s="87">
        <v>4</v>
      </c>
      <c r="BL41" s="62">
        <v>4</v>
      </c>
      <c r="BM41" s="61">
        <f t="shared" si="13"/>
        <v>1</v>
      </c>
      <c r="BN41" s="185"/>
      <c r="BO41" s="185"/>
      <c r="BP41" s="83">
        <v>4</v>
      </c>
      <c r="BQ41" s="80">
        <f t="shared" si="14"/>
        <v>1</v>
      </c>
      <c r="BR41" s="21">
        <v>12</v>
      </c>
      <c r="BS41" s="21">
        <v>10</v>
      </c>
      <c r="BT41" s="22">
        <v>0.83333333333333337</v>
      </c>
      <c r="BU41" s="60">
        <v>13</v>
      </c>
      <c r="BV41" s="87">
        <v>13</v>
      </c>
      <c r="BW41" s="62">
        <v>12</v>
      </c>
      <c r="BX41" s="61">
        <f t="shared" si="9"/>
        <v>0.92307692307692313</v>
      </c>
      <c r="BY41" s="185"/>
      <c r="BZ41" s="185"/>
      <c r="CA41" s="83">
        <v>13</v>
      </c>
      <c r="CB41" s="80">
        <f t="shared" si="10"/>
        <v>1</v>
      </c>
      <c r="CC41" s="113" t="s">
        <v>173</v>
      </c>
      <c r="CD41" s="114"/>
    </row>
    <row r="42" spans="1:82">
      <c r="A42" s="15">
        <v>35</v>
      </c>
      <c r="B42" s="92" t="s">
        <v>41</v>
      </c>
      <c r="C42" s="14" t="s">
        <v>174</v>
      </c>
      <c r="D42" s="21">
        <f>O42+Z42+AK42+AV42+BG42+BR42+33</f>
        <v>316</v>
      </c>
      <c r="E42" s="21">
        <f>P42+AA42+AL42+AW42+BH42+BS42+33</f>
        <v>209</v>
      </c>
      <c r="F42" s="22">
        <f>E42/D42</f>
        <v>0.66139240506329111</v>
      </c>
      <c r="G42" s="62">
        <f>R42+AC42+AN42+AY42+BJ42+BU42+33</f>
        <v>316</v>
      </c>
      <c r="H42" s="83">
        <f>S42+AD42+AO42+AZ42+BK42+BV42+33</f>
        <v>316</v>
      </c>
      <c r="I42" s="60">
        <f>T42+AE42+AP42+BA42++BL42+BW42+33</f>
        <v>251</v>
      </c>
      <c r="J42" s="59">
        <f t="shared" si="0"/>
        <v>0.79430379746835444</v>
      </c>
      <c r="K42" s="182"/>
      <c r="L42" s="182"/>
      <c r="M42" s="49">
        <f>X42+AI42+AT42+BE42+BP42+CA42</f>
        <v>250</v>
      </c>
      <c r="N42" s="16">
        <f>M42/H42</f>
        <v>0.79113924050632911</v>
      </c>
      <c r="O42" s="21">
        <v>51</v>
      </c>
      <c r="P42" s="21">
        <v>34</v>
      </c>
      <c r="Q42" s="22">
        <f>P42/O42</f>
        <v>0.66666666666666663</v>
      </c>
      <c r="R42" s="60">
        <v>51</v>
      </c>
      <c r="S42" s="87">
        <v>51</v>
      </c>
      <c r="T42" s="62">
        <v>40</v>
      </c>
      <c r="U42" s="61">
        <f t="shared" si="1"/>
        <v>0.78431372549019607</v>
      </c>
      <c r="V42" s="185"/>
      <c r="W42" s="185"/>
      <c r="X42" s="83">
        <v>44</v>
      </c>
      <c r="Y42" s="80">
        <f t="shared" si="2"/>
        <v>0.86274509803921573</v>
      </c>
      <c r="Z42" s="21">
        <v>21</v>
      </c>
      <c r="AA42" s="21">
        <v>15</v>
      </c>
      <c r="AB42" s="22">
        <f>AA42/Z42</f>
        <v>0.7142857142857143</v>
      </c>
      <c r="AC42" s="60">
        <v>21</v>
      </c>
      <c r="AD42" s="87">
        <v>21</v>
      </c>
      <c r="AE42" s="62">
        <v>17</v>
      </c>
      <c r="AF42" s="61">
        <f t="shared" si="3"/>
        <v>0.80952380952380953</v>
      </c>
      <c r="AG42" s="185"/>
      <c r="AH42" s="185"/>
      <c r="AI42" s="83">
        <v>19</v>
      </c>
      <c r="AJ42" s="80">
        <f t="shared" si="4"/>
        <v>0.90476190476190477</v>
      </c>
      <c r="AK42" s="21">
        <v>64</v>
      </c>
      <c r="AL42" s="21">
        <v>43</v>
      </c>
      <c r="AM42" s="22">
        <f>AL42/AK42</f>
        <v>0.671875</v>
      </c>
      <c r="AN42" s="60">
        <v>64</v>
      </c>
      <c r="AO42" s="87">
        <v>64</v>
      </c>
      <c r="AP42" s="62">
        <v>53</v>
      </c>
      <c r="AQ42" s="61">
        <f t="shared" si="5"/>
        <v>0.828125</v>
      </c>
      <c r="AR42" s="185"/>
      <c r="AS42" s="185"/>
      <c r="AT42" s="83">
        <v>59</v>
      </c>
      <c r="AU42" s="80">
        <f t="shared" si="6"/>
        <v>0.921875</v>
      </c>
      <c r="AV42" s="21">
        <v>97</v>
      </c>
      <c r="AW42" s="21">
        <v>51</v>
      </c>
      <c r="AX42" s="22">
        <f>AW42/AV42</f>
        <v>0.52577319587628868</v>
      </c>
      <c r="AY42" s="60">
        <v>97</v>
      </c>
      <c r="AZ42" s="87">
        <v>97</v>
      </c>
      <c r="BA42" s="62">
        <v>70</v>
      </c>
      <c r="BB42" s="61">
        <f t="shared" si="7"/>
        <v>0.72164948453608246</v>
      </c>
      <c r="BC42" s="185"/>
      <c r="BD42" s="185"/>
      <c r="BE42" s="83">
        <v>84</v>
      </c>
      <c r="BF42" s="80">
        <f t="shared" si="8"/>
        <v>0.865979381443299</v>
      </c>
      <c r="BG42" s="21">
        <v>10</v>
      </c>
      <c r="BH42" s="21">
        <v>9</v>
      </c>
      <c r="BI42" s="22">
        <f>BH42/BG42</f>
        <v>0.9</v>
      </c>
      <c r="BJ42" s="60">
        <v>10</v>
      </c>
      <c r="BK42" s="87">
        <v>10</v>
      </c>
      <c r="BL42" s="62">
        <v>9</v>
      </c>
      <c r="BM42" s="61">
        <f t="shared" si="13"/>
        <v>0.9</v>
      </c>
      <c r="BN42" s="185"/>
      <c r="BO42" s="185"/>
      <c r="BP42" s="83">
        <v>9</v>
      </c>
      <c r="BQ42" s="80">
        <f t="shared" si="14"/>
        <v>0.9</v>
      </c>
      <c r="BR42" s="21">
        <v>40</v>
      </c>
      <c r="BS42" s="21">
        <v>24</v>
      </c>
      <c r="BT42" s="22">
        <f>BS42/BR42</f>
        <v>0.6</v>
      </c>
      <c r="BU42" s="60">
        <v>40</v>
      </c>
      <c r="BV42" s="87">
        <v>40</v>
      </c>
      <c r="BW42" s="62">
        <v>29</v>
      </c>
      <c r="BX42" s="61">
        <f t="shared" si="9"/>
        <v>0.72499999999999998</v>
      </c>
      <c r="BY42" s="185"/>
      <c r="BZ42" s="185"/>
      <c r="CA42" s="83">
        <v>35</v>
      </c>
      <c r="CB42" s="80">
        <f t="shared" si="10"/>
        <v>0.875</v>
      </c>
      <c r="CC42" s="12"/>
      <c r="CD42" s="12"/>
    </row>
    <row r="43" spans="1:82">
      <c r="A43" s="15">
        <v>36</v>
      </c>
      <c r="B43" s="92" t="s">
        <v>42</v>
      </c>
      <c r="C43" s="14"/>
      <c r="D43" s="21">
        <f>O43+Z43+AK43+AV43+BG43+BR43</f>
        <v>374</v>
      </c>
      <c r="E43" s="21">
        <f>P43+AA43+AL43+AW43+BH43+BS43</f>
        <v>206</v>
      </c>
      <c r="F43" s="22">
        <f>E43/D43</f>
        <v>0.55080213903743314</v>
      </c>
      <c r="G43" s="62">
        <f t="shared" si="11"/>
        <v>374</v>
      </c>
      <c r="H43" s="83">
        <f t="shared" si="12"/>
        <v>374</v>
      </c>
      <c r="I43" s="60">
        <f>T43+AE43+AP43+BA43++BL43+BW43</f>
        <v>213</v>
      </c>
      <c r="J43" s="59">
        <f t="shared" si="0"/>
        <v>0.56951871657754005</v>
      </c>
      <c r="K43" s="182"/>
      <c r="L43" s="182"/>
      <c r="M43" s="49">
        <f>X43+AI43+AT43+BE43+BP43+CA43</f>
        <v>220</v>
      </c>
      <c r="N43" s="16">
        <f>M43/H43</f>
        <v>0.58823529411764708</v>
      </c>
      <c r="O43" s="21">
        <v>82</v>
      </c>
      <c r="P43" s="21">
        <v>52</v>
      </c>
      <c r="Q43" s="22">
        <f>P43/O43</f>
        <v>0.63414634146341464</v>
      </c>
      <c r="R43" s="60">
        <v>82</v>
      </c>
      <c r="S43" s="87">
        <v>82</v>
      </c>
      <c r="T43" s="62">
        <v>54</v>
      </c>
      <c r="U43" s="61">
        <f t="shared" si="1"/>
        <v>0.65853658536585369</v>
      </c>
      <c r="V43" s="185"/>
      <c r="W43" s="185"/>
      <c r="X43" s="83">
        <v>56</v>
      </c>
      <c r="Y43" s="80">
        <f t="shared" si="2"/>
        <v>0.68292682926829273</v>
      </c>
      <c r="Z43" s="21">
        <v>34</v>
      </c>
      <c r="AA43" s="21">
        <v>16</v>
      </c>
      <c r="AB43" s="22">
        <f>AA43/Z43</f>
        <v>0.47058823529411764</v>
      </c>
      <c r="AC43" s="60">
        <v>34</v>
      </c>
      <c r="AD43" s="87">
        <v>34</v>
      </c>
      <c r="AE43" s="62">
        <v>18</v>
      </c>
      <c r="AF43" s="61">
        <f t="shared" si="3"/>
        <v>0.52941176470588236</v>
      </c>
      <c r="AG43" s="185"/>
      <c r="AH43" s="185"/>
      <c r="AI43" s="83">
        <v>20</v>
      </c>
      <c r="AJ43" s="80">
        <f t="shared" si="4"/>
        <v>0.58823529411764708</v>
      </c>
      <c r="AK43" s="21">
        <v>77</v>
      </c>
      <c r="AL43" s="21">
        <v>43</v>
      </c>
      <c r="AM43" s="22">
        <f>AL43/AK43</f>
        <v>0.55844155844155841</v>
      </c>
      <c r="AN43" s="60">
        <v>77</v>
      </c>
      <c r="AO43" s="87">
        <v>77</v>
      </c>
      <c r="AP43" s="62">
        <v>44</v>
      </c>
      <c r="AQ43" s="61">
        <f t="shared" si="5"/>
        <v>0.5714285714285714</v>
      </c>
      <c r="AR43" s="185"/>
      <c r="AS43" s="185"/>
      <c r="AT43" s="83">
        <v>45</v>
      </c>
      <c r="AU43" s="80">
        <f t="shared" si="6"/>
        <v>0.58441558441558439</v>
      </c>
      <c r="AV43" s="21">
        <v>112</v>
      </c>
      <c r="AW43" s="21">
        <v>53</v>
      </c>
      <c r="AX43" s="22">
        <f>AW43/AV43</f>
        <v>0.4732142857142857</v>
      </c>
      <c r="AY43" s="60">
        <v>112</v>
      </c>
      <c r="AZ43" s="87">
        <v>112</v>
      </c>
      <c r="BA43" s="62">
        <v>54</v>
      </c>
      <c r="BB43" s="61">
        <f t="shared" si="7"/>
        <v>0.48214285714285715</v>
      </c>
      <c r="BC43" s="185"/>
      <c r="BD43" s="185"/>
      <c r="BE43" s="83">
        <v>55</v>
      </c>
      <c r="BF43" s="80">
        <f t="shared" si="8"/>
        <v>0.49107142857142855</v>
      </c>
      <c r="BG43" s="21">
        <v>12</v>
      </c>
      <c r="BH43" s="21">
        <v>9</v>
      </c>
      <c r="BI43" s="22">
        <f>BH43/BG43</f>
        <v>0.75</v>
      </c>
      <c r="BJ43" s="60">
        <v>12</v>
      </c>
      <c r="BK43" s="87">
        <v>12</v>
      </c>
      <c r="BL43" s="62">
        <v>9</v>
      </c>
      <c r="BM43" s="61">
        <f t="shared" si="13"/>
        <v>0.75</v>
      </c>
      <c r="BN43" s="185"/>
      <c r="BO43" s="185"/>
      <c r="BP43" s="83">
        <v>9</v>
      </c>
      <c r="BQ43" s="80">
        <f t="shared" si="14"/>
        <v>0.75</v>
      </c>
      <c r="BR43" s="21">
        <v>57</v>
      </c>
      <c r="BS43" s="21">
        <v>33</v>
      </c>
      <c r="BT43" s="22">
        <f>BS43/BR43</f>
        <v>0.57894736842105265</v>
      </c>
      <c r="BU43" s="60">
        <v>57</v>
      </c>
      <c r="BV43" s="87">
        <v>57</v>
      </c>
      <c r="BW43" s="62">
        <v>34</v>
      </c>
      <c r="BX43" s="61">
        <f t="shared" si="9"/>
        <v>0.59649122807017541</v>
      </c>
      <c r="BY43" s="185"/>
      <c r="BZ43" s="185"/>
      <c r="CA43" s="83">
        <v>35</v>
      </c>
      <c r="CB43" s="80">
        <f t="shared" si="10"/>
        <v>0.61403508771929827</v>
      </c>
      <c r="CC43" s="144"/>
      <c r="CD43" s="143"/>
    </row>
    <row r="44" spans="1:82" ht="186" customHeight="1">
      <c r="A44" s="15">
        <v>37</v>
      </c>
      <c r="B44" s="92" t="s">
        <v>43</v>
      </c>
      <c r="C44" s="107" t="s">
        <v>178</v>
      </c>
      <c r="D44" s="21">
        <v>344</v>
      </c>
      <c r="E44" s="21">
        <v>251</v>
      </c>
      <c r="F44" s="22">
        <v>0.72965116279069764</v>
      </c>
      <c r="G44" s="62">
        <f t="shared" si="11"/>
        <v>869</v>
      </c>
      <c r="H44" s="83">
        <f t="shared" si="12"/>
        <v>869</v>
      </c>
      <c r="I44" s="60">
        <f>T44+AE44+AP44+BA44++BL44+BW44</f>
        <v>638</v>
      </c>
      <c r="J44" s="59">
        <f t="shared" si="0"/>
        <v>0.73417721518987344</v>
      </c>
      <c r="K44" s="182"/>
      <c r="L44" s="182"/>
      <c r="M44" s="49">
        <f>X44+AI44+AT44+BE44+BP44+CA44</f>
        <v>646</v>
      </c>
      <c r="N44" s="16">
        <f>M44/H44</f>
        <v>0.74338319907940165</v>
      </c>
      <c r="O44" s="21">
        <v>75</v>
      </c>
      <c r="P44" s="21">
        <v>67</v>
      </c>
      <c r="Q44" s="22">
        <v>0.89333333333333331</v>
      </c>
      <c r="R44" s="60">
        <v>105</v>
      </c>
      <c r="S44" s="87">
        <v>105</v>
      </c>
      <c r="T44" s="62">
        <v>105</v>
      </c>
      <c r="U44" s="61">
        <f t="shared" si="1"/>
        <v>1</v>
      </c>
      <c r="V44" s="185"/>
      <c r="W44" s="185"/>
      <c r="X44" s="83">
        <v>105</v>
      </c>
      <c r="Y44" s="80">
        <f t="shared" si="2"/>
        <v>1</v>
      </c>
      <c r="Z44" s="21">
        <v>17</v>
      </c>
      <c r="AA44" s="21">
        <v>13</v>
      </c>
      <c r="AB44" s="22">
        <v>0.76470588235294112</v>
      </c>
      <c r="AC44" s="60">
        <v>17</v>
      </c>
      <c r="AD44" s="87">
        <v>17</v>
      </c>
      <c r="AE44" s="62">
        <v>15</v>
      </c>
      <c r="AF44" s="61">
        <f t="shared" si="3"/>
        <v>0.88235294117647056</v>
      </c>
      <c r="AG44" s="185"/>
      <c r="AH44" s="185"/>
      <c r="AI44" s="83">
        <v>15</v>
      </c>
      <c r="AJ44" s="80">
        <f t="shared" si="4"/>
        <v>0.88235294117647056</v>
      </c>
      <c r="AK44" s="21">
        <v>166</v>
      </c>
      <c r="AL44" s="21">
        <v>123</v>
      </c>
      <c r="AM44" s="22">
        <v>0.74096385542168675</v>
      </c>
      <c r="AN44" s="60">
        <v>612</v>
      </c>
      <c r="AO44" s="87">
        <v>612</v>
      </c>
      <c r="AP44" s="62">
        <v>428</v>
      </c>
      <c r="AQ44" s="61">
        <f t="shared" si="5"/>
        <v>0.69934640522875813</v>
      </c>
      <c r="AR44" s="185"/>
      <c r="AS44" s="185"/>
      <c r="AT44" s="83">
        <v>434</v>
      </c>
      <c r="AU44" s="80">
        <f t="shared" si="6"/>
        <v>0.70915032679738566</v>
      </c>
      <c r="AV44" s="21">
        <v>59</v>
      </c>
      <c r="AW44" s="21">
        <v>28</v>
      </c>
      <c r="AX44" s="22">
        <v>0.47457627118644069</v>
      </c>
      <c r="AY44" s="60">
        <v>17</v>
      </c>
      <c r="AZ44" s="87">
        <v>17</v>
      </c>
      <c r="BA44" s="62">
        <v>9</v>
      </c>
      <c r="BB44" s="61">
        <f t="shared" si="7"/>
        <v>0.52941176470588236</v>
      </c>
      <c r="BC44" s="185"/>
      <c r="BD44" s="185"/>
      <c r="BE44" s="83">
        <v>10</v>
      </c>
      <c r="BF44" s="80">
        <f t="shared" si="8"/>
        <v>0.58823529411764708</v>
      </c>
      <c r="BG44" s="21">
        <v>11</v>
      </c>
      <c r="BH44" s="21">
        <v>10</v>
      </c>
      <c r="BI44" s="22">
        <v>0.90909090909090906</v>
      </c>
      <c r="BJ44" s="60">
        <v>16</v>
      </c>
      <c r="BK44" s="87">
        <v>16</v>
      </c>
      <c r="BL44" s="62">
        <v>11</v>
      </c>
      <c r="BM44" s="61">
        <f t="shared" si="13"/>
        <v>0.6875</v>
      </c>
      <c r="BN44" s="185"/>
      <c r="BO44" s="185"/>
      <c r="BP44" s="83">
        <v>11</v>
      </c>
      <c r="BQ44" s="80">
        <f t="shared" si="14"/>
        <v>0.6875</v>
      </c>
      <c r="BR44" s="21">
        <v>16</v>
      </c>
      <c r="BS44" s="21">
        <v>10</v>
      </c>
      <c r="BT44" s="22">
        <v>0.625</v>
      </c>
      <c r="BU44" s="60">
        <v>102</v>
      </c>
      <c r="BV44" s="87">
        <v>102</v>
      </c>
      <c r="BW44" s="62">
        <v>70</v>
      </c>
      <c r="BX44" s="61">
        <f t="shared" si="9"/>
        <v>0.68627450980392157</v>
      </c>
      <c r="BY44" s="185"/>
      <c r="BZ44" s="185"/>
      <c r="CA44" s="83">
        <v>71</v>
      </c>
      <c r="CB44" s="80">
        <f t="shared" si="10"/>
        <v>0.69607843137254899</v>
      </c>
      <c r="CC44" s="113" t="s">
        <v>177</v>
      </c>
      <c r="CD44" s="119"/>
    </row>
    <row r="45" spans="1:82" s="109" customFormat="1" ht="144.75" customHeight="1">
      <c r="A45" s="15">
        <v>38</v>
      </c>
      <c r="B45" s="110" t="s">
        <v>44</v>
      </c>
      <c r="C45" s="14"/>
      <c r="D45" s="21">
        <v>1420</v>
      </c>
      <c r="E45" s="21">
        <v>838</v>
      </c>
      <c r="F45" s="22">
        <v>0.59014084507042253</v>
      </c>
      <c r="G45" s="62">
        <f>R45+AC45+AN45+AY45+BJ45+BU45</f>
        <v>1400</v>
      </c>
      <c r="H45" s="83">
        <f t="shared" si="12"/>
        <v>1355</v>
      </c>
      <c r="I45" s="60">
        <f>C45+T45+AE45+AP45+BA45++BL45+BW45</f>
        <v>924</v>
      </c>
      <c r="J45" s="59">
        <f t="shared" si="0"/>
        <v>0.66</v>
      </c>
      <c r="K45" s="182"/>
      <c r="L45" s="182"/>
      <c r="M45" s="49">
        <f>X45+AI45+AT45+BE45+BP45+CA45</f>
        <v>927</v>
      </c>
      <c r="N45" s="16">
        <f>M45/H45</f>
        <v>0.68413284132841323</v>
      </c>
      <c r="O45" s="21">
        <v>208</v>
      </c>
      <c r="P45" s="21">
        <v>182</v>
      </c>
      <c r="Q45" s="22">
        <v>0.875</v>
      </c>
      <c r="R45" s="60">
        <v>208</v>
      </c>
      <c r="S45" s="87">
        <v>208</v>
      </c>
      <c r="T45" s="62">
        <v>187</v>
      </c>
      <c r="U45" s="61">
        <f t="shared" si="1"/>
        <v>0.89903846153846156</v>
      </c>
      <c r="V45" s="185"/>
      <c r="W45" s="185"/>
      <c r="X45" s="83">
        <v>189</v>
      </c>
      <c r="Y45" s="80">
        <f t="shared" si="2"/>
        <v>0.90865384615384615</v>
      </c>
      <c r="Z45" s="21">
        <v>39</v>
      </c>
      <c r="AA45" s="21">
        <v>30</v>
      </c>
      <c r="AB45" s="22">
        <v>0.76923076923076927</v>
      </c>
      <c r="AC45" s="60">
        <v>39</v>
      </c>
      <c r="AD45" s="87">
        <v>39</v>
      </c>
      <c r="AE45" s="62">
        <v>32</v>
      </c>
      <c r="AF45" s="61">
        <f t="shared" si="3"/>
        <v>0.82051282051282048</v>
      </c>
      <c r="AG45" s="185"/>
      <c r="AH45" s="185"/>
      <c r="AI45" s="83">
        <v>32</v>
      </c>
      <c r="AJ45" s="80">
        <f t="shared" si="4"/>
        <v>0.82051282051282048</v>
      </c>
      <c r="AK45" s="21">
        <v>236</v>
      </c>
      <c r="AL45" s="21">
        <v>172</v>
      </c>
      <c r="AM45" s="22">
        <v>0.72881355932203384</v>
      </c>
      <c r="AN45" s="60">
        <v>236</v>
      </c>
      <c r="AO45" s="87">
        <v>236</v>
      </c>
      <c r="AP45" s="62">
        <v>190</v>
      </c>
      <c r="AQ45" s="61">
        <f t="shared" si="5"/>
        <v>0.80508474576271183</v>
      </c>
      <c r="AR45" s="185"/>
      <c r="AS45" s="185"/>
      <c r="AT45" s="83">
        <v>190</v>
      </c>
      <c r="AU45" s="80">
        <f t="shared" si="6"/>
        <v>0.80508474576271183</v>
      </c>
      <c r="AV45" s="21">
        <v>823</v>
      </c>
      <c r="AW45" s="21">
        <v>403</v>
      </c>
      <c r="AX45" s="22">
        <v>0.48967193195625758</v>
      </c>
      <c r="AY45" s="60">
        <v>803</v>
      </c>
      <c r="AZ45" s="87">
        <v>762</v>
      </c>
      <c r="BA45" s="62">
        <v>451</v>
      </c>
      <c r="BB45" s="61">
        <f t="shared" si="7"/>
        <v>0.56164383561643838</v>
      </c>
      <c r="BC45" s="185"/>
      <c r="BD45" s="185"/>
      <c r="BE45" s="83">
        <v>452</v>
      </c>
      <c r="BF45" s="80">
        <f t="shared" si="8"/>
        <v>0.59317585301837272</v>
      </c>
      <c r="BG45" s="21"/>
      <c r="BH45" s="21"/>
      <c r="BI45" s="22"/>
      <c r="BJ45" s="60"/>
      <c r="BK45" s="87"/>
      <c r="BL45" s="62"/>
      <c r="BM45" s="61" t="e">
        <f t="shared" si="13"/>
        <v>#DIV/0!</v>
      </c>
      <c r="BN45" s="185"/>
      <c r="BO45" s="185"/>
      <c r="BP45" s="83"/>
      <c r="BQ45" s="80" t="e">
        <f t="shared" si="14"/>
        <v>#DIV/0!</v>
      </c>
      <c r="BR45" s="21">
        <v>114</v>
      </c>
      <c r="BS45" s="21">
        <v>51</v>
      </c>
      <c r="BT45" s="22">
        <v>0.44736842105263158</v>
      </c>
      <c r="BU45" s="60">
        <v>114</v>
      </c>
      <c r="BV45" s="87">
        <v>110</v>
      </c>
      <c r="BW45" s="62">
        <v>64</v>
      </c>
      <c r="BX45" s="61">
        <f t="shared" si="9"/>
        <v>0.56140350877192979</v>
      </c>
      <c r="BY45" s="185"/>
      <c r="BZ45" s="185"/>
      <c r="CA45" s="83">
        <v>64</v>
      </c>
      <c r="CB45" s="80">
        <f t="shared" si="10"/>
        <v>0.58181818181818179</v>
      </c>
      <c r="CC45" s="113" t="s">
        <v>217</v>
      </c>
      <c r="CD45" s="114"/>
    </row>
    <row r="46" spans="1:82" ht="30">
      <c r="A46" s="15">
        <v>39</v>
      </c>
      <c r="B46" s="92" t="s">
        <v>45</v>
      </c>
      <c r="C46" s="14" t="s">
        <v>182</v>
      </c>
      <c r="D46" s="21">
        <v>228</v>
      </c>
      <c r="E46" s="21">
        <v>129</v>
      </c>
      <c r="F46" s="22">
        <v>0.56578947368421051</v>
      </c>
      <c r="G46" s="62">
        <f>R46+AC46+AN46+AY46+BJ46+BU46+2</f>
        <v>236</v>
      </c>
      <c r="H46" s="83">
        <f>S46+AD46+AO46+AZ46+BK46+BV46+2</f>
        <v>238</v>
      </c>
      <c r="I46" s="60">
        <f>T46+AE46+AP46+BA46++BL46+BW46+2</f>
        <v>139</v>
      </c>
      <c r="J46" s="59">
        <f t="shared" si="0"/>
        <v>0.58898305084745761</v>
      </c>
      <c r="K46" s="182"/>
      <c r="L46" s="182"/>
      <c r="M46" s="49">
        <f>X46+AI46+AT46+BE46+BP46+CA46+2</f>
        <v>154</v>
      </c>
      <c r="N46" s="16">
        <f>M46/H46</f>
        <v>0.6470588235294118</v>
      </c>
      <c r="O46" s="36">
        <v>66</v>
      </c>
      <c r="P46" s="36">
        <v>40</v>
      </c>
      <c r="Q46" s="22">
        <v>0.60606060606060608</v>
      </c>
      <c r="R46" s="60">
        <v>69</v>
      </c>
      <c r="S46" s="87">
        <v>69</v>
      </c>
      <c r="T46" s="62">
        <v>43</v>
      </c>
      <c r="U46" s="61">
        <f t="shared" si="1"/>
        <v>0.62318840579710144</v>
      </c>
      <c r="V46" s="185"/>
      <c r="W46" s="185"/>
      <c r="X46" s="83">
        <v>54</v>
      </c>
      <c r="Y46" s="80">
        <f t="shared" si="2"/>
        <v>0.78260869565217395</v>
      </c>
      <c r="Z46" s="36">
        <v>27</v>
      </c>
      <c r="AA46" s="36">
        <v>12</v>
      </c>
      <c r="AB46" s="22">
        <v>0.44444444444444442</v>
      </c>
      <c r="AC46" s="60">
        <v>27</v>
      </c>
      <c r="AD46" s="87">
        <v>27</v>
      </c>
      <c r="AE46" s="62">
        <v>13</v>
      </c>
      <c r="AF46" s="61">
        <f t="shared" si="3"/>
        <v>0.48148148148148145</v>
      </c>
      <c r="AG46" s="185"/>
      <c r="AH46" s="185"/>
      <c r="AI46" s="83">
        <v>14</v>
      </c>
      <c r="AJ46" s="80">
        <f t="shared" si="4"/>
        <v>0.51851851851851849</v>
      </c>
      <c r="AK46" s="36">
        <v>20</v>
      </c>
      <c r="AL46" s="36">
        <v>12</v>
      </c>
      <c r="AM46" s="22">
        <v>0.6</v>
      </c>
      <c r="AN46" s="60">
        <v>23</v>
      </c>
      <c r="AO46" s="87">
        <v>24</v>
      </c>
      <c r="AP46" s="62">
        <v>14</v>
      </c>
      <c r="AQ46" s="61">
        <f t="shared" si="5"/>
        <v>0.60869565217391308</v>
      </c>
      <c r="AR46" s="185"/>
      <c r="AS46" s="185"/>
      <c r="AT46" s="83">
        <v>15</v>
      </c>
      <c r="AU46" s="80">
        <f t="shared" si="6"/>
        <v>0.625</v>
      </c>
      <c r="AV46" s="36">
        <v>80</v>
      </c>
      <c r="AW46" s="36">
        <v>35</v>
      </c>
      <c r="AX46" s="22">
        <v>0.4375</v>
      </c>
      <c r="AY46" s="60">
        <v>80</v>
      </c>
      <c r="AZ46" s="87">
        <v>80</v>
      </c>
      <c r="BA46" s="62">
        <v>37</v>
      </c>
      <c r="BB46" s="61">
        <f t="shared" si="7"/>
        <v>0.46250000000000002</v>
      </c>
      <c r="BC46" s="185"/>
      <c r="BD46" s="185"/>
      <c r="BE46" s="83">
        <v>38</v>
      </c>
      <c r="BF46" s="80">
        <f t="shared" si="8"/>
        <v>0.47499999999999998</v>
      </c>
      <c r="BG46" s="36"/>
      <c r="BH46" s="36"/>
      <c r="BI46" s="22"/>
      <c r="BJ46" s="60"/>
      <c r="BK46" s="87"/>
      <c r="BL46" s="62"/>
      <c r="BM46" s="61" t="e">
        <f t="shared" si="13"/>
        <v>#DIV/0!</v>
      </c>
      <c r="BN46" s="185"/>
      <c r="BO46" s="185"/>
      <c r="BP46" s="83"/>
      <c r="BQ46" s="80" t="e">
        <f t="shared" si="14"/>
        <v>#DIV/0!</v>
      </c>
      <c r="BR46" s="36">
        <v>33</v>
      </c>
      <c r="BS46" s="36">
        <v>28</v>
      </c>
      <c r="BT46" s="22">
        <v>0.84848484848484851</v>
      </c>
      <c r="BU46" s="60">
        <v>35</v>
      </c>
      <c r="BV46" s="87">
        <v>36</v>
      </c>
      <c r="BW46" s="62">
        <v>30</v>
      </c>
      <c r="BX46" s="61">
        <f t="shared" si="9"/>
        <v>0.8571428571428571</v>
      </c>
      <c r="BY46" s="185"/>
      <c r="BZ46" s="185"/>
      <c r="CA46" s="83">
        <v>31</v>
      </c>
      <c r="CB46" s="80">
        <f t="shared" si="10"/>
        <v>0.86111111111111116</v>
      </c>
      <c r="CC46" s="12"/>
      <c r="CD46" s="12"/>
    </row>
    <row r="47" spans="1:82" ht="81.75" customHeight="1">
      <c r="A47" s="15">
        <v>40</v>
      </c>
      <c r="B47" s="92" t="s">
        <v>46</v>
      </c>
      <c r="C47" s="14" t="s">
        <v>187</v>
      </c>
      <c r="D47" s="21">
        <f>O47+Z47+AK47+AV47+BG47+BR47</f>
        <v>395</v>
      </c>
      <c r="E47" s="21">
        <f>P47+AA47+AL47+AW47+BH47+BS47</f>
        <v>232</v>
      </c>
      <c r="F47" s="22">
        <f>E47/D47</f>
        <v>0.58734177215189876</v>
      </c>
      <c r="G47" s="62">
        <f>R47+AC47+AN47+AY47+BJ47+BU47+39</f>
        <v>440</v>
      </c>
      <c r="H47" s="83">
        <f>S47+AD47+AO47+AZ47+BK47+BV47+39</f>
        <v>440</v>
      </c>
      <c r="I47" s="60">
        <f>T47+AE47+AP47+BA47++BL47+BW47</f>
        <v>247</v>
      </c>
      <c r="J47" s="59">
        <f t="shared" si="0"/>
        <v>0.5613636363636364</v>
      </c>
      <c r="K47" s="182"/>
      <c r="L47" s="182"/>
      <c r="M47" s="49">
        <f>X47+AI47+AT47+BE47+BP47+CA47</f>
        <v>266</v>
      </c>
      <c r="N47" s="16">
        <f>M47/H47</f>
        <v>0.6045454545454545</v>
      </c>
      <c r="O47" s="21">
        <v>91</v>
      </c>
      <c r="P47" s="21">
        <v>52</v>
      </c>
      <c r="Q47" s="22">
        <f>P47/O47</f>
        <v>0.5714285714285714</v>
      </c>
      <c r="R47" s="60">
        <v>95</v>
      </c>
      <c r="S47" s="87">
        <v>95</v>
      </c>
      <c r="T47" s="62">
        <v>56</v>
      </c>
      <c r="U47" s="61">
        <f t="shared" si="1"/>
        <v>0.58947368421052626</v>
      </c>
      <c r="V47" s="185"/>
      <c r="W47" s="185"/>
      <c r="X47" s="83">
        <v>63</v>
      </c>
      <c r="Y47" s="80">
        <f t="shared" si="2"/>
        <v>0.66315789473684206</v>
      </c>
      <c r="Z47" s="21">
        <v>27</v>
      </c>
      <c r="AA47" s="21">
        <v>22</v>
      </c>
      <c r="AB47" s="22">
        <f>AA47/Z47</f>
        <v>0.81481481481481477</v>
      </c>
      <c r="AC47" s="60">
        <v>27</v>
      </c>
      <c r="AD47" s="87">
        <v>27</v>
      </c>
      <c r="AE47" s="62">
        <v>26</v>
      </c>
      <c r="AF47" s="61">
        <f t="shared" si="3"/>
        <v>0.96296296296296291</v>
      </c>
      <c r="AG47" s="185"/>
      <c r="AH47" s="185"/>
      <c r="AI47" s="83">
        <v>27</v>
      </c>
      <c r="AJ47" s="80">
        <f t="shared" si="4"/>
        <v>1</v>
      </c>
      <c r="AK47" s="21">
        <v>179</v>
      </c>
      <c r="AL47" s="21">
        <v>89</v>
      </c>
      <c r="AM47" s="22">
        <f>AL47/AK47</f>
        <v>0.4972067039106145</v>
      </c>
      <c r="AN47" s="60">
        <v>179</v>
      </c>
      <c r="AO47" s="87">
        <v>179</v>
      </c>
      <c r="AP47" s="62">
        <v>92</v>
      </c>
      <c r="AQ47" s="61">
        <f t="shared" si="5"/>
        <v>0.51396648044692739</v>
      </c>
      <c r="AR47" s="185"/>
      <c r="AS47" s="185"/>
      <c r="AT47" s="83">
        <v>100</v>
      </c>
      <c r="AU47" s="80">
        <f t="shared" si="6"/>
        <v>0.55865921787709494</v>
      </c>
      <c r="AV47" s="21">
        <v>39</v>
      </c>
      <c r="AW47" s="21">
        <v>30</v>
      </c>
      <c r="AX47" s="22">
        <f>AW47/AV47</f>
        <v>0.76923076923076927</v>
      </c>
      <c r="AY47" s="60">
        <v>41</v>
      </c>
      <c r="AZ47" s="87">
        <v>41</v>
      </c>
      <c r="BA47" s="62">
        <v>32</v>
      </c>
      <c r="BB47" s="61">
        <f t="shared" si="7"/>
        <v>0.78048780487804881</v>
      </c>
      <c r="BC47" s="185"/>
      <c r="BD47" s="185"/>
      <c r="BE47" s="83">
        <v>32</v>
      </c>
      <c r="BF47" s="80">
        <f t="shared" si="8"/>
        <v>0.78048780487804881</v>
      </c>
      <c r="BG47" s="21">
        <v>8</v>
      </c>
      <c r="BH47" s="21">
        <v>8</v>
      </c>
      <c r="BI47" s="22">
        <f>BH47/BG47</f>
        <v>1</v>
      </c>
      <c r="BJ47" s="60">
        <v>8</v>
      </c>
      <c r="BK47" s="87">
        <v>8</v>
      </c>
      <c r="BL47" s="62">
        <v>8</v>
      </c>
      <c r="BM47" s="61">
        <f t="shared" si="13"/>
        <v>1</v>
      </c>
      <c r="BN47" s="185"/>
      <c r="BO47" s="185"/>
      <c r="BP47" s="83">
        <v>8</v>
      </c>
      <c r="BQ47" s="80">
        <f t="shared" si="14"/>
        <v>1</v>
      </c>
      <c r="BR47" s="21">
        <v>51</v>
      </c>
      <c r="BS47" s="21">
        <v>31</v>
      </c>
      <c r="BT47" s="22">
        <f>BS47/BR47</f>
        <v>0.60784313725490191</v>
      </c>
      <c r="BU47" s="60">
        <v>51</v>
      </c>
      <c r="BV47" s="87">
        <v>51</v>
      </c>
      <c r="BW47" s="62">
        <v>33</v>
      </c>
      <c r="BX47" s="61">
        <f t="shared" si="9"/>
        <v>0.6470588235294118</v>
      </c>
      <c r="BY47" s="185"/>
      <c r="BZ47" s="185"/>
      <c r="CA47" s="83">
        <v>36</v>
      </c>
      <c r="CB47" s="80">
        <f t="shared" si="10"/>
        <v>0.70588235294117652</v>
      </c>
      <c r="CC47" s="113" t="s">
        <v>188</v>
      </c>
      <c r="CD47" s="114"/>
    </row>
    <row r="48" spans="1:82" ht="123" customHeight="1">
      <c r="A48" s="15">
        <v>41</v>
      </c>
      <c r="B48" s="92" t="s">
        <v>47</v>
      </c>
      <c r="C48" s="14" t="s">
        <v>219</v>
      </c>
      <c r="D48" s="21">
        <f>O48+Z48+AK48+AV48+BG48+BR48+170+8</f>
        <v>303</v>
      </c>
      <c r="E48" s="21">
        <f>P48+AA48+AL48+AW48+BH48+BS48+42+8</f>
        <v>99</v>
      </c>
      <c r="F48" s="22">
        <f>E48/D48</f>
        <v>0.32673267326732675</v>
      </c>
      <c r="G48" s="62">
        <f>R48+AC48+AN48+AY48+BJ48+BU48+178</f>
        <v>337</v>
      </c>
      <c r="H48" s="83">
        <f>S48+AD48+AO48+AZ48+BK48+BV48+178</f>
        <v>337</v>
      </c>
      <c r="I48" s="60">
        <f>T48+AE48+AP48+BA48++BL48+BW48+37</f>
        <v>100</v>
      </c>
      <c r="J48" s="59">
        <f t="shared" si="0"/>
        <v>0.29673590504451036</v>
      </c>
      <c r="K48" s="182"/>
      <c r="L48" s="182"/>
      <c r="M48" s="49">
        <f>X48+AI48+AT48+BE48+BP48+CA48+37</f>
        <v>104</v>
      </c>
      <c r="N48" s="16">
        <f>M48/H48</f>
        <v>0.3086053412462908</v>
      </c>
      <c r="O48" s="21">
        <v>31</v>
      </c>
      <c r="P48" s="21">
        <v>11</v>
      </c>
      <c r="Q48" s="22">
        <f>P48/O48</f>
        <v>0.35483870967741937</v>
      </c>
      <c r="R48" s="60">
        <v>40</v>
      </c>
      <c r="S48" s="87">
        <v>40</v>
      </c>
      <c r="T48" s="62">
        <v>11</v>
      </c>
      <c r="U48" s="61">
        <f t="shared" si="1"/>
        <v>0.27500000000000002</v>
      </c>
      <c r="V48" s="185"/>
      <c r="W48" s="185"/>
      <c r="X48" s="83">
        <v>13</v>
      </c>
      <c r="Y48" s="80">
        <f t="shared" si="2"/>
        <v>0.32500000000000001</v>
      </c>
      <c r="Z48" s="21"/>
      <c r="AA48" s="21"/>
      <c r="AB48" s="22"/>
      <c r="AC48" s="60">
        <v>23</v>
      </c>
      <c r="AD48" s="87">
        <v>23</v>
      </c>
      <c r="AE48" s="62">
        <v>12</v>
      </c>
      <c r="AF48" s="61">
        <f t="shared" si="3"/>
        <v>0.52173913043478259</v>
      </c>
      <c r="AG48" s="185"/>
      <c r="AH48" s="185"/>
      <c r="AI48" s="83">
        <v>12</v>
      </c>
      <c r="AJ48" s="80">
        <f t="shared" si="4"/>
        <v>0.52173913043478259</v>
      </c>
      <c r="AK48" s="21">
        <v>43</v>
      </c>
      <c r="AL48" s="21">
        <v>4</v>
      </c>
      <c r="AM48" s="22">
        <f>AL48/AK48</f>
        <v>9.3023255813953487E-2</v>
      </c>
      <c r="AN48" s="60">
        <v>43</v>
      </c>
      <c r="AO48" s="87">
        <v>43</v>
      </c>
      <c r="AP48" s="62">
        <v>4</v>
      </c>
      <c r="AQ48" s="61">
        <f t="shared" si="5"/>
        <v>9.3023255813953487E-2</v>
      </c>
      <c r="AR48" s="185"/>
      <c r="AS48" s="185"/>
      <c r="AT48" s="83">
        <v>5</v>
      </c>
      <c r="AU48" s="80">
        <f t="shared" si="6"/>
        <v>0.11627906976744186</v>
      </c>
      <c r="AV48" s="21">
        <v>21</v>
      </c>
      <c r="AW48" s="21">
        <v>4</v>
      </c>
      <c r="AX48" s="22">
        <f>AW48/AV48</f>
        <v>0.19047619047619047</v>
      </c>
      <c r="AY48" s="60">
        <v>22</v>
      </c>
      <c r="AZ48" s="87">
        <v>22</v>
      </c>
      <c r="BA48" s="62">
        <v>5</v>
      </c>
      <c r="BB48" s="61">
        <f t="shared" si="7"/>
        <v>0.22727272727272727</v>
      </c>
      <c r="BC48" s="185"/>
      <c r="BD48" s="185"/>
      <c r="BE48" s="83">
        <v>6</v>
      </c>
      <c r="BF48" s="80">
        <f t="shared" si="8"/>
        <v>0.27272727272727271</v>
      </c>
      <c r="BG48" s="21">
        <v>28</v>
      </c>
      <c r="BH48" s="21">
        <v>28</v>
      </c>
      <c r="BI48" s="22">
        <f>BH48/BG48</f>
        <v>1</v>
      </c>
      <c r="BJ48" s="60">
        <v>28</v>
      </c>
      <c r="BK48" s="87">
        <v>28</v>
      </c>
      <c r="BL48" s="62">
        <v>28</v>
      </c>
      <c r="BM48" s="61">
        <f t="shared" si="13"/>
        <v>1</v>
      </c>
      <c r="BN48" s="185"/>
      <c r="BO48" s="185"/>
      <c r="BP48" s="83">
        <v>28</v>
      </c>
      <c r="BQ48" s="80">
        <f t="shared" si="14"/>
        <v>1</v>
      </c>
      <c r="BR48" s="21">
        <v>2</v>
      </c>
      <c r="BS48" s="21">
        <v>2</v>
      </c>
      <c r="BT48" s="22">
        <f>BS48/BR48</f>
        <v>1</v>
      </c>
      <c r="BU48" s="60">
        <v>3</v>
      </c>
      <c r="BV48" s="87">
        <v>3</v>
      </c>
      <c r="BW48" s="62">
        <v>3</v>
      </c>
      <c r="BX48" s="61">
        <f t="shared" si="9"/>
        <v>1</v>
      </c>
      <c r="BY48" s="185"/>
      <c r="BZ48" s="185"/>
      <c r="CA48" s="83">
        <v>3</v>
      </c>
      <c r="CB48" s="80">
        <f t="shared" si="10"/>
        <v>1</v>
      </c>
      <c r="CC48" s="145" t="s">
        <v>218</v>
      </c>
      <c r="CD48" s="146"/>
    </row>
    <row r="49" spans="1:82" ht="92.25" customHeight="1">
      <c r="A49" s="15">
        <v>42</v>
      </c>
      <c r="B49" s="92" t="s">
        <v>48</v>
      </c>
      <c r="C49" s="14" t="s">
        <v>190</v>
      </c>
      <c r="D49" s="21">
        <f>O49+Z49+AK49+AV49+BG49+BR49+58</f>
        <v>250</v>
      </c>
      <c r="E49" s="21">
        <f>P49+AA49+AL49+AW49+BH49+BS49+18</f>
        <v>162</v>
      </c>
      <c r="F49" s="22">
        <f>E49/D49</f>
        <v>0.64800000000000002</v>
      </c>
      <c r="G49" s="62">
        <f>R49+AC49+AN49+AY49+BJ49+BU49+58</f>
        <v>258</v>
      </c>
      <c r="H49" s="83">
        <f>S49+AD49+AO49+AZ49+BK49+BV49+58</f>
        <v>285</v>
      </c>
      <c r="I49" s="60">
        <f>T49+AE49+AP49+BA49++BL49+BW49+18</f>
        <v>179</v>
      </c>
      <c r="J49" s="59">
        <f t="shared" si="0"/>
        <v>0.69379844961240311</v>
      </c>
      <c r="K49" s="182"/>
      <c r="L49" s="182"/>
      <c r="M49" s="49">
        <f>X49+AI49+AT49+BE49+BP49+CA49+18</f>
        <v>194</v>
      </c>
      <c r="N49" s="16">
        <f>M49/H49</f>
        <v>0.68070175438596492</v>
      </c>
      <c r="O49" s="21">
        <v>61</v>
      </c>
      <c r="P49" s="21">
        <v>42</v>
      </c>
      <c r="Q49" s="22">
        <f>P49/O49</f>
        <v>0.68852459016393441</v>
      </c>
      <c r="R49" s="60">
        <v>61</v>
      </c>
      <c r="S49" s="87">
        <v>80</v>
      </c>
      <c r="T49" s="62">
        <v>48</v>
      </c>
      <c r="U49" s="61">
        <f t="shared" si="1"/>
        <v>0.78688524590163933</v>
      </c>
      <c r="V49" s="185"/>
      <c r="W49" s="185"/>
      <c r="X49" s="83">
        <v>52</v>
      </c>
      <c r="Y49" s="80">
        <f t="shared" si="2"/>
        <v>0.65</v>
      </c>
      <c r="Z49" s="21">
        <v>44</v>
      </c>
      <c r="AA49" s="21">
        <v>32</v>
      </c>
      <c r="AB49" s="22">
        <f>AA49/Z49</f>
        <v>0.72727272727272729</v>
      </c>
      <c r="AC49" s="60">
        <v>44</v>
      </c>
      <c r="AD49" s="87">
        <v>43</v>
      </c>
      <c r="AE49" s="62">
        <v>38</v>
      </c>
      <c r="AF49" s="61">
        <f t="shared" si="3"/>
        <v>0.86363636363636365</v>
      </c>
      <c r="AG49" s="185"/>
      <c r="AH49" s="185"/>
      <c r="AI49" s="83">
        <v>43</v>
      </c>
      <c r="AJ49" s="80">
        <f t="shared" si="4"/>
        <v>1</v>
      </c>
      <c r="AK49" s="21">
        <v>34</v>
      </c>
      <c r="AL49" s="21">
        <v>23</v>
      </c>
      <c r="AM49" s="22">
        <f>AL49/AK49</f>
        <v>0.67647058823529416</v>
      </c>
      <c r="AN49" s="60">
        <v>34</v>
      </c>
      <c r="AO49" s="87">
        <v>34</v>
      </c>
      <c r="AP49" s="62">
        <v>25</v>
      </c>
      <c r="AQ49" s="61">
        <f t="shared" si="5"/>
        <v>0.73529411764705888</v>
      </c>
      <c r="AR49" s="185"/>
      <c r="AS49" s="185"/>
      <c r="AT49" s="83">
        <v>28</v>
      </c>
      <c r="AU49" s="80">
        <f t="shared" si="6"/>
        <v>0.82352941176470584</v>
      </c>
      <c r="AV49" s="21">
        <v>36</v>
      </c>
      <c r="AW49" s="21">
        <v>35</v>
      </c>
      <c r="AX49" s="22">
        <f>AW49/AV49</f>
        <v>0.97222222222222221</v>
      </c>
      <c r="AY49" s="60">
        <v>44</v>
      </c>
      <c r="AZ49" s="87">
        <v>49</v>
      </c>
      <c r="BA49" s="62">
        <v>37</v>
      </c>
      <c r="BB49" s="61">
        <f t="shared" si="7"/>
        <v>0.84090909090909094</v>
      </c>
      <c r="BC49" s="185"/>
      <c r="BD49" s="185"/>
      <c r="BE49" s="83">
        <v>39</v>
      </c>
      <c r="BF49" s="80">
        <f t="shared" si="8"/>
        <v>0.79591836734693877</v>
      </c>
      <c r="BG49" s="21"/>
      <c r="BH49" s="21"/>
      <c r="BI49" s="22"/>
      <c r="BJ49" s="60"/>
      <c r="BK49" s="87"/>
      <c r="BL49" s="62"/>
      <c r="BM49" s="61" t="e">
        <f t="shared" si="13"/>
        <v>#DIV/0!</v>
      </c>
      <c r="BN49" s="185"/>
      <c r="BO49" s="185"/>
      <c r="BP49" s="83"/>
      <c r="BQ49" s="80" t="e">
        <f t="shared" si="14"/>
        <v>#DIV/0!</v>
      </c>
      <c r="BR49" s="21">
        <v>17</v>
      </c>
      <c r="BS49" s="21">
        <v>12</v>
      </c>
      <c r="BT49" s="22">
        <f>BS49/BR49</f>
        <v>0.70588235294117652</v>
      </c>
      <c r="BU49" s="60">
        <v>17</v>
      </c>
      <c r="BV49" s="87">
        <v>21</v>
      </c>
      <c r="BW49" s="62">
        <v>13</v>
      </c>
      <c r="BX49" s="61">
        <f t="shared" si="9"/>
        <v>0.76470588235294112</v>
      </c>
      <c r="BY49" s="185"/>
      <c r="BZ49" s="185"/>
      <c r="CA49" s="83">
        <v>14</v>
      </c>
      <c r="CB49" s="80">
        <f t="shared" si="10"/>
        <v>0.66666666666666663</v>
      </c>
      <c r="CC49" s="126" t="s">
        <v>189</v>
      </c>
      <c r="CD49" s="127"/>
    </row>
    <row r="50" spans="1:82" ht="60">
      <c r="A50" s="15">
        <v>43</v>
      </c>
      <c r="B50" s="92" t="s">
        <v>49</v>
      </c>
      <c r="C50" s="14" t="s">
        <v>229</v>
      </c>
      <c r="D50" s="21">
        <f>O50+Z50+AK50+AV50+BG50+BR50+23+16</f>
        <v>244</v>
      </c>
      <c r="E50" s="21">
        <f>P50+AA50+AL50+AW50+BH50+BS50+23+16</f>
        <v>175</v>
      </c>
      <c r="F50" s="22">
        <f>E50/D50</f>
        <v>0.71721311475409832</v>
      </c>
      <c r="G50" s="62">
        <f>R50+AC50+AN50+AY50+BJ50+BU50+23+16</f>
        <v>244</v>
      </c>
      <c r="H50" s="83">
        <f>S50+AD50+AO50+AZ50+BK50+BV50+23+16</f>
        <v>244</v>
      </c>
      <c r="I50" s="60">
        <f>T50+AE50+AP50+BA50++BL50+BW50+24+16</f>
        <v>201</v>
      </c>
      <c r="J50" s="59">
        <f t="shared" si="0"/>
        <v>0.82377049180327866</v>
      </c>
      <c r="K50" s="182"/>
      <c r="L50" s="182"/>
      <c r="M50" s="49">
        <f>X50+AI50+AT50+BE50+BP50+CA50+24+16</f>
        <v>205</v>
      </c>
      <c r="N50" s="16">
        <f>M50/H50</f>
        <v>0.8401639344262295</v>
      </c>
      <c r="O50" s="21">
        <v>62</v>
      </c>
      <c r="P50" s="21">
        <v>44</v>
      </c>
      <c r="Q50" s="22">
        <f>P50/O50</f>
        <v>0.70967741935483875</v>
      </c>
      <c r="R50" s="60">
        <v>62</v>
      </c>
      <c r="S50" s="87">
        <v>62</v>
      </c>
      <c r="T50" s="62">
        <v>48</v>
      </c>
      <c r="U50" s="61">
        <f t="shared" si="1"/>
        <v>0.77419354838709675</v>
      </c>
      <c r="V50" s="185"/>
      <c r="W50" s="185"/>
      <c r="X50" s="83">
        <v>49</v>
      </c>
      <c r="Y50" s="80">
        <f t="shared" si="2"/>
        <v>0.79032258064516125</v>
      </c>
      <c r="Z50" s="21">
        <v>17</v>
      </c>
      <c r="AA50" s="21">
        <v>12</v>
      </c>
      <c r="AB50" s="22">
        <f>AA50/Z50</f>
        <v>0.70588235294117652</v>
      </c>
      <c r="AC50" s="60">
        <v>17</v>
      </c>
      <c r="AD50" s="87">
        <v>17</v>
      </c>
      <c r="AE50" s="62">
        <v>17</v>
      </c>
      <c r="AF50" s="61">
        <f t="shared" si="3"/>
        <v>1</v>
      </c>
      <c r="AG50" s="185"/>
      <c r="AH50" s="185"/>
      <c r="AI50" s="83">
        <v>17</v>
      </c>
      <c r="AJ50" s="80">
        <f t="shared" si="4"/>
        <v>1</v>
      </c>
      <c r="AK50" s="21">
        <v>52</v>
      </c>
      <c r="AL50" s="21">
        <v>23</v>
      </c>
      <c r="AM50" s="22">
        <f>AL50/AK50</f>
        <v>0.44230769230769229</v>
      </c>
      <c r="AN50" s="60">
        <v>52</v>
      </c>
      <c r="AO50" s="87">
        <v>52</v>
      </c>
      <c r="AP50" s="62">
        <v>29</v>
      </c>
      <c r="AQ50" s="61">
        <f t="shared" si="5"/>
        <v>0.55769230769230771</v>
      </c>
      <c r="AR50" s="185"/>
      <c r="AS50" s="185"/>
      <c r="AT50" s="83">
        <v>30</v>
      </c>
      <c r="AU50" s="80">
        <f t="shared" si="6"/>
        <v>0.57692307692307687</v>
      </c>
      <c r="AV50" s="21">
        <v>37</v>
      </c>
      <c r="AW50" s="21">
        <v>31</v>
      </c>
      <c r="AX50" s="22">
        <f>AW50/AV50</f>
        <v>0.83783783783783783</v>
      </c>
      <c r="AY50" s="60">
        <v>37</v>
      </c>
      <c r="AZ50" s="87">
        <v>37</v>
      </c>
      <c r="BA50" s="62">
        <v>37</v>
      </c>
      <c r="BB50" s="61">
        <f t="shared" si="7"/>
        <v>1</v>
      </c>
      <c r="BC50" s="185"/>
      <c r="BD50" s="185"/>
      <c r="BE50" s="83">
        <v>37</v>
      </c>
      <c r="BF50" s="80">
        <f t="shared" si="8"/>
        <v>1</v>
      </c>
      <c r="BG50" s="21">
        <v>17</v>
      </c>
      <c r="BH50" s="21">
        <v>10</v>
      </c>
      <c r="BI50" s="22">
        <f>BH50/BG50</f>
        <v>0.58823529411764708</v>
      </c>
      <c r="BJ50" s="60">
        <v>17</v>
      </c>
      <c r="BK50" s="87">
        <v>17</v>
      </c>
      <c r="BL50" s="62">
        <v>12</v>
      </c>
      <c r="BM50" s="61">
        <f t="shared" si="13"/>
        <v>0.70588235294117652</v>
      </c>
      <c r="BN50" s="185"/>
      <c r="BO50" s="185"/>
      <c r="BP50" s="83">
        <v>13</v>
      </c>
      <c r="BQ50" s="80">
        <f t="shared" si="14"/>
        <v>0.76470588235294112</v>
      </c>
      <c r="BR50" s="21">
        <v>20</v>
      </c>
      <c r="BS50" s="21">
        <v>16</v>
      </c>
      <c r="BT50" s="22">
        <f>BS50/BR50</f>
        <v>0.8</v>
      </c>
      <c r="BU50" s="60">
        <v>20</v>
      </c>
      <c r="BV50" s="87">
        <v>20</v>
      </c>
      <c r="BW50" s="62">
        <v>18</v>
      </c>
      <c r="BX50" s="61">
        <f t="shared" si="9"/>
        <v>0.9</v>
      </c>
      <c r="BY50" s="185"/>
      <c r="BZ50" s="185"/>
      <c r="CA50" s="83">
        <v>19</v>
      </c>
      <c r="CB50" s="80">
        <f t="shared" si="10"/>
        <v>0.95</v>
      </c>
      <c r="CC50" s="113" t="s">
        <v>232</v>
      </c>
      <c r="CD50" s="114"/>
    </row>
    <row r="51" spans="1:82" ht="90" customHeight="1">
      <c r="A51" s="15">
        <v>44</v>
      </c>
      <c r="B51" s="92" t="s">
        <v>50</v>
      </c>
      <c r="C51" s="14" t="s">
        <v>192</v>
      </c>
      <c r="D51" s="21">
        <f>O51+Z51+AK51+AV51+BG51+BR51+16+2</f>
        <v>190</v>
      </c>
      <c r="E51" s="21">
        <f>P51+AA51+AL51+AW51+BH51+BS51+2+2</f>
        <v>126</v>
      </c>
      <c r="F51" s="22">
        <f>E51/D51</f>
        <v>0.66315789473684206</v>
      </c>
      <c r="G51" s="62">
        <f>R51+AC51+AN51+AY51+BJ51+BU51+2+4</f>
        <v>170</v>
      </c>
      <c r="H51" s="83">
        <f>S51+AD51+AO51+AZ51+BK51+BV51+2+4</f>
        <v>170</v>
      </c>
      <c r="I51" s="60">
        <f>T51+AE51+AP51+BA51++BL51+BW51+2+4</f>
        <v>102</v>
      </c>
      <c r="J51" s="59">
        <f t="shared" si="0"/>
        <v>0.6</v>
      </c>
      <c r="K51" s="182"/>
      <c r="L51" s="182"/>
      <c r="M51" s="49">
        <f>X51+AI51+AT51+BE51+BP51+CA51+2+4</f>
        <v>109</v>
      </c>
      <c r="N51" s="16">
        <f>M51/H51</f>
        <v>0.64117647058823535</v>
      </c>
      <c r="O51" s="21">
        <v>69</v>
      </c>
      <c r="P51" s="21">
        <v>44</v>
      </c>
      <c r="Q51" s="22">
        <f>P51/O51</f>
        <v>0.6376811594202898</v>
      </c>
      <c r="R51" s="60">
        <v>69</v>
      </c>
      <c r="S51" s="87">
        <v>69</v>
      </c>
      <c r="T51" s="62">
        <v>47</v>
      </c>
      <c r="U51" s="61">
        <f t="shared" si="1"/>
        <v>0.6811594202898551</v>
      </c>
      <c r="V51" s="185"/>
      <c r="W51" s="185"/>
      <c r="X51" s="83">
        <v>49</v>
      </c>
      <c r="Y51" s="80">
        <f t="shared" si="2"/>
        <v>0.71014492753623193</v>
      </c>
      <c r="Z51" s="21">
        <v>13</v>
      </c>
      <c r="AA51" s="21">
        <v>6</v>
      </c>
      <c r="AB51" s="22">
        <f>AA51/Z51</f>
        <v>0.46153846153846156</v>
      </c>
      <c r="AC51" s="60">
        <v>14</v>
      </c>
      <c r="AD51" s="87">
        <v>14</v>
      </c>
      <c r="AE51" s="62">
        <v>8</v>
      </c>
      <c r="AF51" s="61">
        <f t="shared" si="3"/>
        <v>0.5714285714285714</v>
      </c>
      <c r="AG51" s="185"/>
      <c r="AH51" s="185"/>
      <c r="AI51" s="83">
        <v>9</v>
      </c>
      <c r="AJ51" s="80">
        <f t="shared" si="4"/>
        <v>0.6428571428571429</v>
      </c>
      <c r="AK51" s="21">
        <v>16</v>
      </c>
      <c r="AL51" s="21">
        <v>15</v>
      </c>
      <c r="AM51" s="22">
        <f>AL51/AK51</f>
        <v>0.9375</v>
      </c>
      <c r="AN51" s="60">
        <v>26</v>
      </c>
      <c r="AO51" s="87">
        <v>26</v>
      </c>
      <c r="AP51" s="62">
        <v>17</v>
      </c>
      <c r="AQ51" s="61">
        <f t="shared" si="5"/>
        <v>0.65384615384615385</v>
      </c>
      <c r="AR51" s="185"/>
      <c r="AS51" s="185"/>
      <c r="AT51" s="83">
        <v>19</v>
      </c>
      <c r="AU51" s="80">
        <f t="shared" si="6"/>
        <v>0.73076923076923073</v>
      </c>
      <c r="AV51" s="21">
        <v>37</v>
      </c>
      <c r="AW51" s="21">
        <v>31</v>
      </c>
      <c r="AX51" s="22">
        <f>AW51/AV51</f>
        <v>0.83783783783783783</v>
      </c>
      <c r="AY51" s="60">
        <v>40</v>
      </c>
      <c r="AZ51" s="87">
        <v>40</v>
      </c>
      <c r="BA51" s="62">
        <v>16</v>
      </c>
      <c r="BB51" s="61">
        <f t="shared" si="7"/>
        <v>0.4</v>
      </c>
      <c r="BC51" s="185"/>
      <c r="BD51" s="185"/>
      <c r="BE51" s="83">
        <v>18</v>
      </c>
      <c r="BF51" s="80">
        <f t="shared" si="8"/>
        <v>0.45</v>
      </c>
      <c r="BG51" s="21">
        <v>17</v>
      </c>
      <c r="BH51" s="21">
        <v>10</v>
      </c>
      <c r="BI51" s="22">
        <v>0</v>
      </c>
      <c r="BJ51" s="60">
        <v>0</v>
      </c>
      <c r="BK51" s="87">
        <v>0</v>
      </c>
      <c r="BL51" s="62">
        <v>0</v>
      </c>
      <c r="BM51" s="61" t="e">
        <f t="shared" si="13"/>
        <v>#DIV/0!</v>
      </c>
      <c r="BN51" s="185"/>
      <c r="BO51" s="185"/>
      <c r="BP51" s="83">
        <v>0</v>
      </c>
      <c r="BQ51" s="80" t="e">
        <f t="shared" si="14"/>
        <v>#DIV/0!</v>
      </c>
      <c r="BR51" s="21">
        <v>20</v>
      </c>
      <c r="BS51" s="21">
        <v>16</v>
      </c>
      <c r="BT51" s="22">
        <f>BS51/BR51</f>
        <v>0.8</v>
      </c>
      <c r="BU51" s="60">
        <v>15</v>
      </c>
      <c r="BV51" s="87">
        <v>15</v>
      </c>
      <c r="BW51" s="62">
        <v>8</v>
      </c>
      <c r="BX51" s="61">
        <f t="shared" si="9"/>
        <v>0.53333333333333333</v>
      </c>
      <c r="BY51" s="185"/>
      <c r="BZ51" s="185"/>
      <c r="CA51" s="83">
        <v>8</v>
      </c>
      <c r="CB51" s="80">
        <f t="shared" si="10"/>
        <v>0.53333333333333333</v>
      </c>
      <c r="CC51" s="128" t="s">
        <v>195</v>
      </c>
      <c r="CD51" s="129"/>
    </row>
    <row r="52" spans="1:82" ht="108.75" customHeight="1">
      <c r="A52" s="10">
        <v>45</v>
      </c>
      <c r="B52" s="92" t="s">
        <v>51</v>
      </c>
      <c r="C52" s="14"/>
      <c r="D52" s="24">
        <v>116</v>
      </c>
      <c r="E52" s="24">
        <v>64</v>
      </c>
      <c r="F52" s="22">
        <v>0.55172413793103448</v>
      </c>
      <c r="G52" s="62">
        <f t="shared" si="11"/>
        <v>116</v>
      </c>
      <c r="H52" s="83">
        <f t="shared" si="12"/>
        <v>116</v>
      </c>
      <c r="I52" s="60">
        <f>T52+AE52+AP52+BA52++BL52+BW52</f>
        <v>72</v>
      </c>
      <c r="J52" s="59">
        <f t="shared" si="0"/>
        <v>0.62068965517241381</v>
      </c>
      <c r="K52" s="182"/>
      <c r="L52" s="182"/>
      <c r="M52" s="49">
        <f t="shared" ref="M52:M58" si="20">X52+AI52+AT52+BE52+BP52+CA52</f>
        <v>79</v>
      </c>
      <c r="N52" s="16">
        <f>M52/H52</f>
        <v>0.68103448275862066</v>
      </c>
      <c r="O52" s="33">
        <v>30</v>
      </c>
      <c r="P52" s="33">
        <v>19</v>
      </c>
      <c r="Q52" s="22">
        <v>0.6333333333333333</v>
      </c>
      <c r="R52" s="60">
        <v>30</v>
      </c>
      <c r="S52" s="87">
        <v>30</v>
      </c>
      <c r="T52" s="62">
        <v>21</v>
      </c>
      <c r="U52" s="61">
        <f t="shared" si="1"/>
        <v>0.7</v>
      </c>
      <c r="V52" s="185"/>
      <c r="W52" s="185"/>
      <c r="X52" s="83">
        <v>22</v>
      </c>
      <c r="Y52" s="80">
        <f t="shared" si="2"/>
        <v>0.73333333333333328</v>
      </c>
      <c r="Z52" s="33">
        <v>4</v>
      </c>
      <c r="AA52" s="33">
        <v>3</v>
      </c>
      <c r="AB52" s="22">
        <v>0.75</v>
      </c>
      <c r="AC52" s="60">
        <v>4</v>
      </c>
      <c r="AD52" s="87">
        <v>4</v>
      </c>
      <c r="AE52" s="62">
        <v>4</v>
      </c>
      <c r="AF52" s="61">
        <f t="shared" si="3"/>
        <v>1</v>
      </c>
      <c r="AG52" s="185"/>
      <c r="AH52" s="185"/>
      <c r="AI52" s="83">
        <v>4</v>
      </c>
      <c r="AJ52" s="80">
        <f t="shared" si="4"/>
        <v>1</v>
      </c>
      <c r="AK52" s="33">
        <v>38</v>
      </c>
      <c r="AL52" s="33">
        <v>16</v>
      </c>
      <c r="AM52" s="22">
        <v>0.42105263157894735</v>
      </c>
      <c r="AN52" s="60">
        <v>38</v>
      </c>
      <c r="AO52" s="87">
        <v>38</v>
      </c>
      <c r="AP52" s="62">
        <v>17</v>
      </c>
      <c r="AQ52" s="61">
        <f t="shared" si="5"/>
        <v>0.44736842105263158</v>
      </c>
      <c r="AR52" s="185"/>
      <c r="AS52" s="185"/>
      <c r="AT52" s="83">
        <v>18</v>
      </c>
      <c r="AU52" s="80">
        <f t="shared" si="6"/>
        <v>0.47368421052631576</v>
      </c>
      <c r="AV52" s="33">
        <v>16</v>
      </c>
      <c r="AW52" s="33">
        <v>9</v>
      </c>
      <c r="AX52" s="22">
        <v>0.5625</v>
      </c>
      <c r="AY52" s="60">
        <v>16</v>
      </c>
      <c r="AZ52" s="87">
        <v>16</v>
      </c>
      <c r="BA52" s="62">
        <v>10</v>
      </c>
      <c r="BB52" s="61">
        <f t="shared" si="7"/>
        <v>0.625</v>
      </c>
      <c r="BC52" s="185"/>
      <c r="BD52" s="185"/>
      <c r="BE52" s="83">
        <v>14</v>
      </c>
      <c r="BF52" s="80">
        <f t="shared" si="8"/>
        <v>0.875</v>
      </c>
      <c r="BG52" s="33"/>
      <c r="BH52" s="33"/>
      <c r="BI52" s="22"/>
      <c r="BJ52" s="60"/>
      <c r="BK52" s="87"/>
      <c r="BL52" s="62"/>
      <c r="BM52" s="61" t="e">
        <f t="shared" si="13"/>
        <v>#DIV/0!</v>
      </c>
      <c r="BN52" s="185"/>
      <c r="BO52" s="185"/>
      <c r="BP52" s="83"/>
      <c r="BQ52" s="80" t="e">
        <f t="shared" si="14"/>
        <v>#DIV/0!</v>
      </c>
      <c r="BR52" s="33">
        <v>28</v>
      </c>
      <c r="BS52" s="33">
        <v>17</v>
      </c>
      <c r="BT52" s="22">
        <v>0.6071428571428571</v>
      </c>
      <c r="BU52" s="60">
        <v>28</v>
      </c>
      <c r="BV52" s="87">
        <v>28</v>
      </c>
      <c r="BW52" s="62">
        <v>20</v>
      </c>
      <c r="BX52" s="61">
        <f t="shared" si="9"/>
        <v>0.7142857142857143</v>
      </c>
      <c r="BY52" s="185"/>
      <c r="BZ52" s="185"/>
      <c r="CA52" s="83">
        <v>21</v>
      </c>
      <c r="CB52" s="80">
        <f t="shared" si="10"/>
        <v>0.75</v>
      </c>
      <c r="CC52" s="113" t="s">
        <v>193</v>
      </c>
      <c r="CD52" s="114"/>
    </row>
    <row r="53" spans="1:82" ht="156.75" customHeight="1">
      <c r="A53" s="15">
        <v>46</v>
      </c>
      <c r="B53" s="92" t="s">
        <v>52</v>
      </c>
      <c r="C53" s="111" t="s">
        <v>228</v>
      </c>
      <c r="D53" s="21">
        <f>O53+Z53+AK53+AV53+BG53+BR53+203+23</f>
        <v>655</v>
      </c>
      <c r="E53" s="21">
        <f>P53+AA53+AL53+AW53+BH53+BS53+75+10</f>
        <v>362</v>
      </c>
      <c r="F53" s="22">
        <f>E53/D53</f>
        <v>0.55267175572519089</v>
      </c>
      <c r="G53" s="62">
        <f>R53+AC53+AN53+AY53+BJ53+BU53+203+23</f>
        <v>656</v>
      </c>
      <c r="H53" s="83">
        <f>S53+AD53+AO53+AZ53+BK53+BV53+203+23</f>
        <v>656</v>
      </c>
      <c r="I53" s="60">
        <f>T53+AE53+AP53+BA53++BL53+BW53+86</f>
        <v>456</v>
      </c>
      <c r="J53" s="59">
        <f t="shared" si="0"/>
        <v>0.69512195121951215</v>
      </c>
      <c r="K53" s="182"/>
      <c r="L53" s="182"/>
      <c r="M53" s="49">
        <f>X53+AI53+AT53+BE53+BP53+CA53+86</f>
        <v>464</v>
      </c>
      <c r="N53" s="16">
        <f>M53/H53</f>
        <v>0.70731707317073167</v>
      </c>
      <c r="O53" s="21">
        <v>183</v>
      </c>
      <c r="P53" s="21">
        <v>132</v>
      </c>
      <c r="Q53" s="22">
        <f>P53/O53</f>
        <v>0.72131147540983609</v>
      </c>
      <c r="R53" s="60">
        <v>184</v>
      </c>
      <c r="S53" s="87">
        <v>184</v>
      </c>
      <c r="T53" s="62">
        <v>184</v>
      </c>
      <c r="U53" s="61">
        <f t="shared" si="1"/>
        <v>1</v>
      </c>
      <c r="V53" s="185"/>
      <c r="W53" s="185"/>
      <c r="X53" s="83">
        <v>184</v>
      </c>
      <c r="Y53" s="80">
        <f t="shared" si="2"/>
        <v>1</v>
      </c>
      <c r="Z53" s="21">
        <v>34</v>
      </c>
      <c r="AA53" s="21">
        <v>24</v>
      </c>
      <c r="AB53" s="22">
        <f>AA53/Z53</f>
        <v>0.70588235294117652</v>
      </c>
      <c r="AC53" s="60">
        <v>34</v>
      </c>
      <c r="AD53" s="87">
        <v>34</v>
      </c>
      <c r="AE53" s="62">
        <v>32</v>
      </c>
      <c r="AF53" s="61">
        <f t="shared" si="3"/>
        <v>0.94117647058823528</v>
      </c>
      <c r="AG53" s="185"/>
      <c r="AH53" s="185"/>
      <c r="AI53" s="83">
        <v>34</v>
      </c>
      <c r="AJ53" s="80">
        <f t="shared" si="4"/>
        <v>1</v>
      </c>
      <c r="AK53" s="21">
        <v>74</v>
      </c>
      <c r="AL53" s="21">
        <v>40</v>
      </c>
      <c r="AM53" s="22">
        <f>AL53/AK53</f>
        <v>0.54054054054054057</v>
      </c>
      <c r="AN53" s="60">
        <v>74</v>
      </c>
      <c r="AO53" s="87">
        <v>74</v>
      </c>
      <c r="AP53" s="62">
        <v>46</v>
      </c>
      <c r="AQ53" s="61">
        <f t="shared" si="5"/>
        <v>0.6216216216216216</v>
      </c>
      <c r="AR53" s="185"/>
      <c r="AS53" s="185"/>
      <c r="AT53" s="83">
        <v>52</v>
      </c>
      <c r="AU53" s="80">
        <f t="shared" si="6"/>
        <v>0.70270270270270274</v>
      </c>
      <c r="AV53" s="21">
        <v>36</v>
      </c>
      <c r="AW53" s="21">
        <v>18</v>
      </c>
      <c r="AX53" s="22">
        <f>AW53/AV53</f>
        <v>0.5</v>
      </c>
      <c r="AY53" s="60">
        <v>36</v>
      </c>
      <c r="AZ53" s="87">
        <v>36</v>
      </c>
      <c r="BA53" s="62">
        <v>31</v>
      </c>
      <c r="BB53" s="61">
        <f t="shared" si="7"/>
        <v>0.86111111111111116</v>
      </c>
      <c r="BC53" s="185"/>
      <c r="BD53" s="185"/>
      <c r="BE53" s="83">
        <v>31</v>
      </c>
      <c r="BF53" s="80">
        <f t="shared" si="8"/>
        <v>0.86111111111111116</v>
      </c>
      <c r="BG53" s="21">
        <v>5</v>
      </c>
      <c r="BH53" s="21">
        <v>5</v>
      </c>
      <c r="BI53" s="22">
        <f>BH53/BG53</f>
        <v>1</v>
      </c>
      <c r="BJ53" s="60">
        <v>5</v>
      </c>
      <c r="BK53" s="87">
        <v>5</v>
      </c>
      <c r="BL53" s="62">
        <v>5</v>
      </c>
      <c r="BM53" s="61">
        <f t="shared" si="13"/>
        <v>1</v>
      </c>
      <c r="BN53" s="185"/>
      <c r="BO53" s="185"/>
      <c r="BP53" s="83">
        <v>5</v>
      </c>
      <c r="BQ53" s="80">
        <f t="shared" si="14"/>
        <v>1</v>
      </c>
      <c r="BR53" s="21">
        <v>97</v>
      </c>
      <c r="BS53" s="21">
        <v>58</v>
      </c>
      <c r="BT53" s="22">
        <f>BS53/BR53</f>
        <v>0.59793814432989689</v>
      </c>
      <c r="BU53" s="60">
        <v>97</v>
      </c>
      <c r="BV53" s="87">
        <v>97</v>
      </c>
      <c r="BW53" s="62">
        <v>72</v>
      </c>
      <c r="BX53" s="61">
        <f t="shared" si="9"/>
        <v>0.74226804123711343</v>
      </c>
      <c r="BY53" s="185"/>
      <c r="BZ53" s="185"/>
      <c r="CA53" s="83">
        <v>72</v>
      </c>
      <c r="CB53" s="80">
        <f t="shared" si="10"/>
        <v>0.74226804123711343</v>
      </c>
      <c r="CC53" s="113" t="s">
        <v>227</v>
      </c>
      <c r="CD53" s="114"/>
    </row>
    <row r="54" spans="1:82" ht="150">
      <c r="A54" s="15">
        <v>47</v>
      </c>
      <c r="B54" s="108" t="s">
        <v>53</v>
      </c>
      <c r="C54" s="14" t="s">
        <v>234</v>
      </c>
      <c r="D54" s="21">
        <f>O54+Z54+AK54+AV54+BG54+BR54+48+2</f>
        <v>308</v>
      </c>
      <c r="E54" s="21">
        <f>P54+AA54+AL54+AW54+BH54+BS54+34+2</f>
        <v>203</v>
      </c>
      <c r="F54" s="22">
        <f>E54/D54</f>
        <v>0.65909090909090906</v>
      </c>
      <c r="G54" s="62">
        <f>R54+AC54+AN54+AY54+BJ54+BU54+48+2+2+2+24+4</f>
        <v>340</v>
      </c>
      <c r="H54" s="83">
        <f>S54+AD54+AO54+AZ54+BK54+BV54+48+2+2+2+24+4</f>
        <v>340</v>
      </c>
      <c r="I54" s="60">
        <f>T54+AE54+AP54+BA54++BL54+BW54+34+2</f>
        <v>229</v>
      </c>
      <c r="J54" s="59">
        <f t="shared" si="0"/>
        <v>0.67352941176470593</v>
      </c>
      <c r="K54" s="182"/>
      <c r="L54" s="182"/>
      <c r="M54" s="49">
        <f>X54+AI54+AT54+BE54+BP54+CA54+34+2</f>
        <v>233</v>
      </c>
      <c r="N54" s="16">
        <f>M54/H54</f>
        <v>0.68529411764705883</v>
      </c>
      <c r="O54" s="21">
        <v>24</v>
      </c>
      <c r="P54" s="21">
        <v>15</v>
      </c>
      <c r="Q54" s="22">
        <f>P54/O54</f>
        <v>0.625</v>
      </c>
      <c r="R54" s="60">
        <v>24</v>
      </c>
      <c r="S54" s="87">
        <v>24</v>
      </c>
      <c r="T54" s="62">
        <v>15</v>
      </c>
      <c r="U54" s="61">
        <f t="shared" si="1"/>
        <v>0.625</v>
      </c>
      <c r="V54" s="185"/>
      <c r="W54" s="185"/>
      <c r="X54" s="83">
        <v>16</v>
      </c>
      <c r="Y54" s="80">
        <f t="shared" si="2"/>
        <v>0.66666666666666663</v>
      </c>
      <c r="Z54" s="21">
        <v>24</v>
      </c>
      <c r="AA54" s="21">
        <v>14</v>
      </c>
      <c r="AB54" s="22">
        <f>AA54/Z54</f>
        <v>0.58333333333333337</v>
      </c>
      <c r="AC54" s="60">
        <v>24</v>
      </c>
      <c r="AD54" s="87">
        <v>24</v>
      </c>
      <c r="AE54" s="62">
        <v>14</v>
      </c>
      <c r="AF54" s="61">
        <f t="shared" si="3"/>
        <v>0.58333333333333337</v>
      </c>
      <c r="AG54" s="185"/>
      <c r="AH54" s="185"/>
      <c r="AI54" s="83">
        <v>14</v>
      </c>
      <c r="AJ54" s="80">
        <f t="shared" si="4"/>
        <v>0.58333333333333337</v>
      </c>
      <c r="AK54" s="21">
        <v>28</v>
      </c>
      <c r="AL54" s="21">
        <v>16</v>
      </c>
      <c r="AM54" s="22">
        <f>AL54/AK54</f>
        <v>0.5714285714285714</v>
      </c>
      <c r="AN54" s="60">
        <v>28</v>
      </c>
      <c r="AO54" s="87">
        <v>28</v>
      </c>
      <c r="AP54" s="62">
        <v>18</v>
      </c>
      <c r="AQ54" s="61">
        <f t="shared" si="5"/>
        <v>0.6428571428571429</v>
      </c>
      <c r="AR54" s="185"/>
      <c r="AS54" s="185"/>
      <c r="AT54" s="83">
        <v>19</v>
      </c>
      <c r="AU54" s="80">
        <f t="shared" si="6"/>
        <v>0.6785714285714286</v>
      </c>
      <c r="AV54" s="21">
        <v>149</v>
      </c>
      <c r="AW54" s="21">
        <v>99</v>
      </c>
      <c r="AX54" s="22">
        <f>AW54/AV54</f>
        <v>0.66442953020134232</v>
      </c>
      <c r="AY54" s="60">
        <v>149</v>
      </c>
      <c r="AZ54" s="87">
        <v>149</v>
      </c>
      <c r="BA54" s="62">
        <v>119</v>
      </c>
      <c r="BB54" s="61">
        <f t="shared" si="7"/>
        <v>0.79865771812080533</v>
      </c>
      <c r="BC54" s="185"/>
      <c r="BD54" s="185"/>
      <c r="BE54" s="83">
        <v>120</v>
      </c>
      <c r="BF54" s="80">
        <f t="shared" si="8"/>
        <v>0.80536912751677847</v>
      </c>
      <c r="BG54" s="21"/>
      <c r="BH54" s="21"/>
      <c r="BI54" s="22"/>
      <c r="BJ54" s="60"/>
      <c r="BK54" s="87"/>
      <c r="BL54" s="62"/>
      <c r="BM54" s="61" t="e">
        <f t="shared" si="13"/>
        <v>#DIV/0!</v>
      </c>
      <c r="BN54" s="185"/>
      <c r="BO54" s="185"/>
      <c r="BP54" s="83"/>
      <c r="BQ54" s="80" t="e">
        <f t="shared" si="14"/>
        <v>#DIV/0!</v>
      </c>
      <c r="BR54" s="21">
        <v>33</v>
      </c>
      <c r="BS54" s="21">
        <v>23</v>
      </c>
      <c r="BT54" s="22">
        <f>BS54/BR54</f>
        <v>0.69696969696969702</v>
      </c>
      <c r="BU54" s="60">
        <v>33</v>
      </c>
      <c r="BV54" s="87">
        <v>33</v>
      </c>
      <c r="BW54" s="62">
        <v>27</v>
      </c>
      <c r="BX54" s="61">
        <f t="shared" si="9"/>
        <v>0.81818181818181823</v>
      </c>
      <c r="BY54" s="185"/>
      <c r="BZ54" s="185"/>
      <c r="CA54" s="83">
        <v>28</v>
      </c>
      <c r="CB54" s="80">
        <f t="shared" si="10"/>
        <v>0.84848484848484851</v>
      </c>
      <c r="CC54" s="113" t="s">
        <v>233</v>
      </c>
      <c r="CD54" s="114"/>
    </row>
    <row r="55" spans="1:82" ht="166.5" customHeight="1">
      <c r="A55" s="15">
        <v>48</v>
      </c>
      <c r="B55" s="92" t="s">
        <v>54</v>
      </c>
      <c r="C55" s="14" t="s">
        <v>239</v>
      </c>
      <c r="D55" s="21">
        <v>1124</v>
      </c>
      <c r="E55" s="21">
        <v>786</v>
      </c>
      <c r="F55" s="22">
        <v>0.69928825622775803</v>
      </c>
      <c r="G55" s="62">
        <f>R55+AC55+AN55+AY55+BJ55+BU55+346+39+68+6+19+135+4</f>
        <v>1124</v>
      </c>
      <c r="H55" s="83">
        <f>S55+AD55+AO55+AZ55+BK55+BV55+346+39+68+6+19+135+4</f>
        <v>1124</v>
      </c>
      <c r="I55" s="60">
        <f>T55+AE55+AP55+BA55++BL55+BW55+241+27+48+6+14+94+3</f>
        <v>854</v>
      </c>
      <c r="J55" s="59">
        <f t="shared" si="0"/>
        <v>0.75978647686832745</v>
      </c>
      <c r="K55" s="182"/>
      <c r="L55" s="182"/>
      <c r="M55" s="49">
        <f>X55+AI55+AT55+BE55+BP55+CA55+241+27+48+6+14+94+3</f>
        <v>876</v>
      </c>
      <c r="N55" s="16">
        <f>M55/H55</f>
        <v>0.77935943060498225</v>
      </c>
      <c r="O55" s="21">
        <v>83</v>
      </c>
      <c r="P55" s="21">
        <v>71</v>
      </c>
      <c r="Q55" s="22">
        <v>0.85542168674698793</v>
      </c>
      <c r="R55" s="60">
        <v>83</v>
      </c>
      <c r="S55" s="87">
        <v>83</v>
      </c>
      <c r="T55" s="62">
        <v>73</v>
      </c>
      <c r="U55" s="61">
        <f t="shared" si="1"/>
        <v>0.87951807228915657</v>
      </c>
      <c r="V55" s="185"/>
      <c r="W55" s="185"/>
      <c r="X55" s="83">
        <v>73</v>
      </c>
      <c r="Y55" s="80">
        <f t="shared" si="2"/>
        <v>0.87951807228915657</v>
      </c>
      <c r="Z55" s="21">
        <v>25</v>
      </c>
      <c r="AA55" s="21">
        <v>9</v>
      </c>
      <c r="AB55" s="22">
        <v>0.36</v>
      </c>
      <c r="AC55" s="60">
        <v>25</v>
      </c>
      <c r="AD55" s="87">
        <v>25</v>
      </c>
      <c r="AE55" s="62">
        <v>14</v>
      </c>
      <c r="AF55" s="61">
        <f t="shared" si="3"/>
        <v>0.56000000000000005</v>
      </c>
      <c r="AG55" s="185"/>
      <c r="AH55" s="185"/>
      <c r="AI55" s="83">
        <v>14</v>
      </c>
      <c r="AJ55" s="80">
        <f t="shared" si="4"/>
        <v>0.56000000000000005</v>
      </c>
      <c r="AK55" s="21">
        <v>175</v>
      </c>
      <c r="AL55" s="21">
        <v>135</v>
      </c>
      <c r="AM55" s="22">
        <v>0.77142857142857146</v>
      </c>
      <c r="AN55" s="60">
        <v>175</v>
      </c>
      <c r="AO55" s="87">
        <v>175</v>
      </c>
      <c r="AP55" s="62">
        <v>138</v>
      </c>
      <c r="AQ55" s="61">
        <f t="shared" si="5"/>
        <v>0.78857142857142859</v>
      </c>
      <c r="AR55" s="185"/>
      <c r="AS55" s="185"/>
      <c r="AT55" s="83">
        <v>139</v>
      </c>
      <c r="AU55" s="80">
        <f t="shared" si="6"/>
        <v>0.79428571428571426</v>
      </c>
      <c r="AV55" s="21">
        <v>170</v>
      </c>
      <c r="AW55" s="21">
        <v>134</v>
      </c>
      <c r="AX55" s="22">
        <v>0.78823529411764703</v>
      </c>
      <c r="AY55" s="60">
        <v>170</v>
      </c>
      <c r="AZ55" s="87">
        <v>170</v>
      </c>
      <c r="BA55" s="62">
        <v>152</v>
      </c>
      <c r="BB55" s="61">
        <f t="shared" si="7"/>
        <v>0.89411764705882357</v>
      </c>
      <c r="BC55" s="185"/>
      <c r="BD55" s="185"/>
      <c r="BE55" s="83">
        <v>169</v>
      </c>
      <c r="BF55" s="80">
        <f t="shared" si="8"/>
        <v>0.99411764705882355</v>
      </c>
      <c r="BG55" s="21">
        <v>19</v>
      </c>
      <c r="BH55" s="21">
        <v>12</v>
      </c>
      <c r="BI55" s="22">
        <v>0.63157894736842102</v>
      </c>
      <c r="BJ55" s="60">
        <v>19</v>
      </c>
      <c r="BK55" s="87">
        <v>19</v>
      </c>
      <c r="BL55" s="62">
        <v>12</v>
      </c>
      <c r="BM55" s="61">
        <f t="shared" si="13"/>
        <v>0.63157894736842102</v>
      </c>
      <c r="BN55" s="185"/>
      <c r="BO55" s="185"/>
      <c r="BP55" s="83">
        <v>13</v>
      </c>
      <c r="BQ55" s="80">
        <f t="shared" si="14"/>
        <v>0.68421052631578949</v>
      </c>
      <c r="BR55" s="21">
        <v>35</v>
      </c>
      <c r="BS55" s="21">
        <v>29</v>
      </c>
      <c r="BT55" s="22">
        <v>0.82857142857142863</v>
      </c>
      <c r="BU55" s="60">
        <v>35</v>
      </c>
      <c r="BV55" s="87">
        <v>35</v>
      </c>
      <c r="BW55" s="62">
        <v>32</v>
      </c>
      <c r="BX55" s="61">
        <f t="shared" si="9"/>
        <v>0.91428571428571426</v>
      </c>
      <c r="BY55" s="185"/>
      <c r="BZ55" s="185"/>
      <c r="CA55" s="83">
        <v>35</v>
      </c>
      <c r="CB55" s="80">
        <f t="shared" si="10"/>
        <v>1</v>
      </c>
      <c r="CC55" s="113" t="s">
        <v>224</v>
      </c>
      <c r="CD55" s="114"/>
    </row>
    <row r="56" spans="1:82">
      <c r="A56" s="15">
        <v>49</v>
      </c>
      <c r="B56" s="92" t="s">
        <v>55</v>
      </c>
      <c r="C56" s="14"/>
      <c r="D56" s="21">
        <f>O56+Z56+AK56+AV56+BG56+BR56</f>
        <v>99</v>
      </c>
      <c r="E56" s="21">
        <f>P56+AA56+AL56+AW56+BH56+BS56</f>
        <v>58</v>
      </c>
      <c r="F56" s="22">
        <f>E56/D56</f>
        <v>0.58585858585858586</v>
      </c>
      <c r="G56" s="62">
        <f t="shared" si="11"/>
        <v>97</v>
      </c>
      <c r="H56" s="83">
        <f t="shared" si="12"/>
        <v>99</v>
      </c>
      <c r="I56" s="60">
        <f>T56+AE56+AP56+BA56++BL56+BW56</f>
        <v>68</v>
      </c>
      <c r="J56" s="59">
        <f t="shared" si="0"/>
        <v>0.7010309278350515</v>
      </c>
      <c r="K56" s="182"/>
      <c r="L56" s="182"/>
      <c r="M56" s="49">
        <f t="shared" si="20"/>
        <v>79</v>
      </c>
      <c r="N56" s="16">
        <f>M56/H56</f>
        <v>0.79797979797979801</v>
      </c>
      <c r="O56" s="21">
        <v>20</v>
      </c>
      <c r="P56" s="21">
        <v>13</v>
      </c>
      <c r="Q56" s="22">
        <f>P56/O56</f>
        <v>0.65</v>
      </c>
      <c r="R56" s="60">
        <v>20</v>
      </c>
      <c r="S56" s="87">
        <v>20</v>
      </c>
      <c r="T56" s="62">
        <v>15</v>
      </c>
      <c r="U56" s="61">
        <f t="shared" si="1"/>
        <v>0.75</v>
      </c>
      <c r="V56" s="185"/>
      <c r="W56" s="185"/>
      <c r="X56" s="83">
        <v>16</v>
      </c>
      <c r="Y56" s="80">
        <f t="shared" si="2"/>
        <v>0.8</v>
      </c>
      <c r="Z56" s="21">
        <v>8</v>
      </c>
      <c r="AA56" s="21">
        <v>4</v>
      </c>
      <c r="AB56" s="22">
        <f>AA56/Z56</f>
        <v>0.5</v>
      </c>
      <c r="AC56" s="60">
        <v>8</v>
      </c>
      <c r="AD56" s="87">
        <v>8</v>
      </c>
      <c r="AE56" s="62">
        <v>6</v>
      </c>
      <c r="AF56" s="61">
        <f t="shared" si="3"/>
        <v>0.75</v>
      </c>
      <c r="AG56" s="185"/>
      <c r="AH56" s="185"/>
      <c r="AI56" s="83">
        <v>8</v>
      </c>
      <c r="AJ56" s="80">
        <f t="shared" si="4"/>
        <v>1</v>
      </c>
      <c r="AK56" s="21">
        <v>19</v>
      </c>
      <c r="AL56" s="21">
        <v>11</v>
      </c>
      <c r="AM56" s="22">
        <f>AL56/AK56</f>
        <v>0.57894736842105265</v>
      </c>
      <c r="AN56" s="60">
        <v>19</v>
      </c>
      <c r="AO56" s="87">
        <v>19</v>
      </c>
      <c r="AP56" s="62">
        <v>13</v>
      </c>
      <c r="AQ56" s="61">
        <f t="shared" si="5"/>
        <v>0.68421052631578949</v>
      </c>
      <c r="AR56" s="185"/>
      <c r="AS56" s="185"/>
      <c r="AT56" s="83">
        <v>15</v>
      </c>
      <c r="AU56" s="80">
        <f t="shared" si="6"/>
        <v>0.78947368421052633</v>
      </c>
      <c r="AV56" s="21">
        <v>39</v>
      </c>
      <c r="AW56" s="21">
        <v>21</v>
      </c>
      <c r="AX56" s="22">
        <f>AW56/AV56</f>
        <v>0.53846153846153844</v>
      </c>
      <c r="AY56" s="60">
        <v>39</v>
      </c>
      <c r="AZ56" s="87">
        <v>39</v>
      </c>
      <c r="BA56" s="62">
        <v>24</v>
      </c>
      <c r="BB56" s="61">
        <f t="shared" si="7"/>
        <v>0.61538461538461542</v>
      </c>
      <c r="BC56" s="185"/>
      <c r="BD56" s="185"/>
      <c r="BE56" s="83">
        <v>28</v>
      </c>
      <c r="BF56" s="80">
        <f t="shared" si="8"/>
        <v>0.71794871794871795</v>
      </c>
      <c r="BG56" s="21">
        <v>1</v>
      </c>
      <c r="BH56" s="21">
        <v>1</v>
      </c>
      <c r="BI56" s="22">
        <f>BH56/BG56</f>
        <v>1</v>
      </c>
      <c r="BJ56" s="60">
        <v>1</v>
      </c>
      <c r="BK56" s="87">
        <v>1</v>
      </c>
      <c r="BL56" s="62">
        <v>1</v>
      </c>
      <c r="BM56" s="61">
        <f t="shared" si="13"/>
        <v>1</v>
      </c>
      <c r="BN56" s="185"/>
      <c r="BO56" s="185"/>
      <c r="BP56" s="83">
        <v>1</v>
      </c>
      <c r="BQ56" s="80">
        <f t="shared" si="14"/>
        <v>1</v>
      </c>
      <c r="BR56" s="21">
        <v>12</v>
      </c>
      <c r="BS56" s="21">
        <v>8</v>
      </c>
      <c r="BT56" s="22">
        <f>BS56/BR56</f>
        <v>0.66666666666666663</v>
      </c>
      <c r="BU56" s="60">
        <v>10</v>
      </c>
      <c r="BV56" s="87">
        <v>12</v>
      </c>
      <c r="BW56" s="62">
        <v>9</v>
      </c>
      <c r="BX56" s="61">
        <f t="shared" si="9"/>
        <v>0.9</v>
      </c>
      <c r="BY56" s="185"/>
      <c r="BZ56" s="185"/>
      <c r="CA56" s="83">
        <v>11</v>
      </c>
      <c r="CB56" s="80">
        <f t="shared" si="10"/>
        <v>0.91666666666666663</v>
      </c>
      <c r="CC56" s="12"/>
      <c r="CD56" s="12"/>
    </row>
    <row r="57" spans="1:82" ht="156" customHeight="1">
      <c r="A57" s="15">
        <v>50</v>
      </c>
      <c r="B57" s="92" t="s">
        <v>56</v>
      </c>
      <c r="C57" s="14"/>
      <c r="D57" s="21">
        <v>283</v>
      </c>
      <c r="E57" s="21">
        <v>124</v>
      </c>
      <c r="F57" s="22">
        <v>0.43816254416961131</v>
      </c>
      <c r="G57" s="62">
        <f>R57+AC57+AN57+AY57+BJ57+BU57</f>
        <v>364</v>
      </c>
      <c r="H57" s="83">
        <f>S57+AD57+AO57+AZ57+BK57+BV57</f>
        <v>365</v>
      </c>
      <c r="I57" s="60">
        <f>C57+T57+AE57+AP57+BA57+BL57+BW57</f>
        <v>197</v>
      </c>
      <c r="J57" s="59">
        <f t="shared" si="0"/>
        <v>0.54120879120879117</v>
      </c>
      <c r="K57" s="182"/>
      <c r="L57" s="182"/>
      <c r="M57" s="49">
        <f t="shared" si="20"/>
        <v>200</v>
      </c>
      <c r="N57" s="16">
        <f>M57/H57</f>
        <v>0.54794520547945202</v>
      </c>
      <c r="O57" s="21">
        <v>51</v>
      </c>
      <c r="P57" s="21">
        <v>51</v>
      </c>
      <c r="Q57" s="22">
        <v>1</v>
      </c>
      <c r="R57" s="60">
        <v>51</v>
      </c>
      <c r="S57" s="87">
        <v>51</v>
      </c>
      <c r="T57" s="62">
        <v>51</v>
      </c>
      <c r="U57" s="61">
        <f t="shared" si="1"/>
        <v>1</v>
      </c>
      <c r="V57" s="185"/>
      <c r="W57" s="185"/>
      <c r="X57" s="83">
        <v>51</v>
      </c>
      <c r="Y57" s="80">
        <f t="shared" si="2"/>
        <v>1</v>
      </c>
      <c r="Z57" s="21">
        <v>8</v>
      </c>
      <c r="AA57" s="21">
        <v>8</v>
      </c>
      <c r="AB57" s="22">
        <v>1</v>
      </c>
      <c r="AC57" s="60">
        <v>10</v>
      </c>
      <c r="AD57" s="87">
        <v>11</v>
      </c>
      <c r="AE57" s="62">
        <v>10</v>
      </c>
      <c r="AF57" s="61">
        <f t="shared" si="3"/>
        <v>1</v>
      </c>
      <c r="AG57" s="185"/>
      <c r="AH57" s="185"/>
      <c r="AI57" s="83">
        <v>11</v>
      </c>
      <c r="AJ57" s="80">
        <f t="shared" si="4"/>
        <v>1</v>
      </c>
      <c r="AK57" s="21">
        <v>77</v>
      </c>
      <c r="AL57" s="21">
        <v>36</v>
      </c>
      <c r="AM57" s="22">
        <v>0.46753246753246752</v>
      </c>
      <c r="AN57" s="60">
        <v>77</v>
      </c>
      <c r="AO57" s="87">
        <v>77</v>
      </c>
      <c r="AP57" s="62">
        <v>38</v>
      </c>
      <c r="AQ57" s="61">
        <f t="shared" si="5"/>
        <v>0.4935064935064935</v>
      </c>
      <c r="AR57" s="185"/>
      <c r="AS57" s="185"/>
      <c r="AT57" s="83">
        <v>39</v>
      </c>
      <c r="AU57" s="80">
        <f t="shared" si="6"/>
        <v>0.50649350649350644</v>
      </c>
      <c r="AV57" s="21">
        <v>107</v>
      </c>
      <c r="AW57" s="21">
        <v>13</v>
      </c>
      <c r="AX57" s="22">
        <v>0.12149532710280374</v>
      </c>
      <c r="AY57" s="60">
        <v>192</v>
      </c>
      <c r="AZ57" s="87">
        <v>192</v>
      </c>
      <c r="BA57" s="62">
        <v>90</v>
      </c>
      <c r="BB57" s="61">
        <f t="shared" si="7"/>
        <v>0.46875</v>
      </c>
      <c r="BC57" s="185"/>
      <c r="BD57" s="185"/>
      <c r="BE57" s="83">
        <v>91</v>
      </c>
      <c r="BF57" s="80">
        <f t="shared" si="8"/>
        <v>0.47395833333333331</v>
      </c>
      <c r="BG57" s="21">
        <v>0</v>
      </c>
      <c r="BH57" s="21">
        <v>0</v>
      </c>
      <c r="BI57" s="22">
        <v>0</v>
      </c>
      <c r="BJ57" s="60">
        <v>2</v>
      </c>
      <c r="BK57" s="87">
        <v>2</v>
      </c>
      <c r="BL57" s="62">
        <v>0</v>
      </c>
      <c r="BM57" s="61">
        <v>0</v>
      </c>
      <c r="BN57" s="185"/>
      <c r="BO57" s="185"/>
      <c r="BP57" s="83">
        <v>0</v>
      </c>
      <c r="BQ57" s="80">
        <v>0</v>
      </c>
      <c r="BR57" s="21">
        <v>32</v>
      </c>
      <c r="BS57" s="21">
        <v>8</v>
      </c>
      <c r="BT57" s="22">
        <v>0.25</v>
      </c>
      <c r="BU57" s="60">
        <v>32</v>
      </c>
      <c r="BV57" s="87">
        <v>32</v>
      </c>
      <c r="BW57" s="62">
        <v>8</v>
      </c>
      <c r="BX57" s="61">
        <f t="shared" si="9"/>
        <v>0.25</v>
      </c>
      <c r="BY57" s="185"/>
      <c r="BZ57" s="185"/>
      <c r="CA57" s="83">
        <v>8</v>
      </c>
      <c r="CB57" s="80">
        <f t="shared" si="10"/>
        <v>0.25</v>
      </c>
      <c r="CC57" s="117" t="s">
        <v>142</v>
      </c>
      <c r="CD57" s="118"/>
    </row>
    <row r="58" spans="1:82" ht="177" customHeight="1">
      <c r="A58" s="15">
        <v>51</v>
      </c>
      <c r="B58" s="92" t="s">
        <v>57</v>
      </c>
      <c r="C58" s="14" t="s">
        <v>196</v>
      </c>
      <c r="D58" s="21">
        <f>O58+Z58+AK58+AV58+BG58+BR58</f>
        <v>172</v>
      </c>
      <c r="E58" s="21">
        <f>P58+AA58+AL58+AW58+BH58+BS58</f>
        <v>157</v>
      </c>
      <c r="F58" s="22">
        <f>E58/D58</f>
        <v>0.91279069767441856</v>
      </c>
      <c r="G58" s="62">
        <f t="shared" si="11"/>
        <v>175</v>
      </c>
      <c r="H58" s="83">
        <f t="shared" si="12"/>
        <v>183</v>
      </c>
      <c r="I58" s="60">
        <f>T58+AE58+AP58+BA58++BL58+BW58</f>
        <v>169</v>
      </c>
      <c r="J58" s="59">
        <f t="shared" si="0"/>
        <v>0.96571428571428575</v>
      </c>
      <c r="K58" s="182"/>
      <c r="L58" s="182"/>
      <c r="M58" s="49">
        <f t="shared" si="20"/>
        <v>180</v>
      </c>
      <c r="N58" s="16">
        <f>M58/H58</f>
        <v>0.98360655737704916</v>
      </c>
      <c r="O58" s="21">
        <v>27</v>
      </c>
      <c r="P58" s="21">
        <v>21</v>
      </c>
      <c r="Q58" s="22">
        <f>P58/O58</f>
        <v>0.77777777777777779</v>
      </c>
      <c r="R58" s="60">
        <v>27</v>
      </c>
      <c r="S58" s="87">
        <v>27</v>
      </c>
      <c r="T58" s="62">
        <v>23</v>
      </c>
      <c r="U58" s="61">
        <f t="shared" si="1"/>
        <v>0.85185185185185186</v>
      </c>
      <c r="V58" s="185"/>
      <c r="W58" s="185"/>
      <c r="X58" s="83">
        <v>25</v>
      </c>
      <c r="Y58" s="80">
        <f t="shared" si="2"/>
        <v>0.92592592592592593</v>
      </c>
      <c r="Z58" s="21">
        <v>15</v>
      </c>
      <c r="AA58" s="21">
        <v>10</v>
      </c>
      <c r="AB58" s="22">
        <f>AA58/Z58</f>
        <v>0.66666666666666663</v>
      </c>
      <c r="AC58" s="60">
        <v>15</v>
      </c>
      <c r="AD58" s="87">
        <v>17</v>
      </c>
      <c r="AE58" s="62">
        <v>15</v>
      </c>
      <c r="AF58" s="61">
        <f t="shared" si="3"/>
        <v>1</v>
      </c>
      <c r="AG58" s="185"/>
      <c r="AH58" s="185"/>
      <c r="AI58" s="83">
        <v>17</v>
      </c>
      <c r="AJ58" s="80">
        <f t="shared" si="4"/>
        <v>1</v>
      </c>
      <c r="AK58" s="21">
        <v>74</v>
      </c>
      <c r="AL58" s="21">
        <v>74</v>
      </c>
      <c r="AM58" s="22">
        <f>AL58/AK58</f>
        <v>1</v>
      </c>
      <c r="AN58" s="60">
        <v>77</v>
      </c>
      <c r="AO58" s="87">
        <v>83</v>
      </c>
      <c r="AP58" s="62">
        <v>77</v>
      </c>
      <c r="AQ58" s="61">
        <f t="shared" si="5"/>
        <v>1</v>
      </c>
      <c r="AR58" s="185"/>
      <c r="AS58" s="185"/>
      <c r="AT58" s="83">
        <v>83</v>
      </c>
      <c r="AU58" s="80">
        <f t="shared" si="6"/>
        <v>1</v>
      </c>
      <c r="AV58" s="21">
        <v>30</v>
      </c>
      <c r="AW58" s="21">
        <v>27</v>
      </c>
      <c r="AX58" s="22">
        <f>AW58/AV58</f>
        <v>0.9</v>
      </c>
      <c r="AY58" s="60">
        <v>30</v>
      </c>
      <c r="AZ58" s="87">
        <v>30</v>
      </c>
      <c r="BA58" s="62">
        <v>28</v>
      </c>
      <c r="BB58" s="61">
        <f t="shared" si="7"/>
        <v>0.93333333333333335</v>
      </c>
      <c r="BC58" s="185"/>
      <c r="BD58" s="185"/>
      <c r="BE58" s="83">
        <v>29</v>
      </c>
      <c r="BF58" s="80">
        <f t="shared" si="8"/>
        <v>0.96666666666666667</v>
      </c>
      <c r="BG58" s="21">
        <v>1</v>
      </c>
      <c r="BH58" s="21">
        <v>1</v>
      </c>
      <c r="BI58" s="22">
        <f>BH58/BG58</f>
        <v>1</v>
      </c>
      <c r="BJ58" s="60">
        <v>1</v>
      </c>
      <c r="BK58" s="87">
        <v>1</v>
      </c>
      <c r="BL58" s="62">
        <v>1</v>
      </c>
      <c r="BM58" s="61">
        <f t="shared" si="13"/>
        <v>1</v>
      </c>
      <c r="BN58" s="185"/>
      <c r="BO58" s="185"/>
      <c r="BP58" s="83">
        <v>1</v>
      </c>
      <c r="BQ58" s="80">
        <f t="shared" si="14"/>
        <v>1</v>
      </c>
      <c r="BR58" s="21">
        <v>25</v>
      </c>
      <c r="BS58" s="21">
        <v>24</v>
      </c>
      <c r="BT58" s="22">
        <f>BS58/BR58</f>
        <v>0.96</v>
      </c>
      <c r="BU58" s="60">
        <v>25</v>
      </c>
      <c r="BV58" s="87">
        <v>25</v>
      </c>
      <c r="BW58" s="62">
        <v>25</v>
      </c>
      <c r="BX58" s="61">
        <f t="shared" si="9"/>
        <v>1</v>
      </c>
      <c r="BY58" s="185"/>
      <c r="BZ58" s="185"/>
      <c r="CA58" s="83">
        <v>25</v>
      </c>
      <c r="CB58" s="80">
        <f t="shared" si="10"/>
        <v>1</v>
      </c>
      <c r="CC58" s="113" t="s">
        <v>197</v>
      </c>
      <c r="CD58" s="114"/>
    </row>
    <row r="59" spans="1:82" ht="68.25" customHeight="1">
      <c r="A59" s="15">
        <v>52</v>
      </c>
      <c r="B59" s="95" t="s">
        <v>58</v>
      </c>
      <c r="C59" s="13" t="s">
        <v>223</v>
      </c>
      <c r="D59" s="21">
        <f>O59+Z59+AK59+AV59+BG59+BR59+39</f>
        <v>203</v>
      </c>
      <c r="E59" s="21">
        <f>P59+AA59+AL59+AW59+BH59+BS59+18</f>
        <v>165</v>
      </c>
      <c r="F59" s="22">
        <f>E59/D59</f>
        <v>0.81280788177339902</v>
      </c>
      <c r="G59" s="62">
        <f>R59+AC59+AN59+AY59+BJ59+BU59+39</f>
        <v>297</v>
      </c>
      <c r="H59" s="83">
        <f>S59+AD59+AO59+AZ59+BK59+BV59+39</f>
        <v>298</v>
      </c>
      <c r="I59" s="60">
        <f>T59+AE59+AP59+BA59++BL59+BW59+18</f>
        <v>190</v>
      </c>
      <c r="J59" s="59">
        <f>I59/G59</f>
        <v>0.63973063973063971</v>
      </c>
      <c r="K59" s="182"/>
      <c r="L59" s="182"/>
      <c r="M59" s="49">
        <f>X59+AI59+AT59+BE59+BP59+CA59+18</f>
        <v>192</v>
      </c>
      <c r="N59" s="16">
        <f>M59/H59</f>
        <v>0.64429530201342278</v>
      </c>
      <c r="O59" s="38">
        <v>36</v>
      </c>
      <c r="P59" s="38">
        <v>36</v>
      </c>
      <c r="Q59" s="22">
        <f>P59/O59</f>
        <v>1</v>
      </c>
      <c r="R59" s="60">
        <v>47</v>
      </c>
      <c r="S59" s="87">
        <v>48</v>
      </c>
      <c r="T59" s="62">
        <v>46</v>
      </c>
      <c r="U59" s="61">
        <f t="shared" si="1"/>
        <v>0.97872340425531912</v>
      </c>
      <c r="V59" s="185"/>
      <c r="W59" s="185"/>
      <c r="X59" s="83">
        <v>48</v>
      </c>
      <c r="Y59" s="80">
        <f t="shared" si="2"/>
        <v>1</v>
      </c>
      <c r="Z59" s="38">
        <v>21</v>
      </c>
      <c r="AA59" s="38">
        <v>21</v>
      </c>
      <c r="AB59" s="22">
        <f>AA59/Z59</f>
        <v>1</v>
      </c>
      <c r="AC59" s="60">
        <v>21</v>
      </c>
      <c r="AD59" s="87">
        <v>21</v>
      </c>
      <c r="AE59" s="62">
        <v>15</v>
      </c>
      <c r="AF59" s="61">
        <f t="shared" si="3"/>
        <v>0.7142857142857143</v>
      </c>
      <c r="AG59" s="185"/>
      <c r="AH59" s="185"/>
      <c r="AI59" s="83">
        <v>15</v>
      </c>
      <c r="AJ59" s="80">
        <f t="shared" si="4"/>
        <v>0.7142857142857143</v>
      </c>
      <c r="AK59" s="38">
        <v>77</v>
      </c>
      <c r="AL59" s="38">
        <v>65</v>
      </c>
      <c r="AM59" s="22">
        <f>AL59/AK59</f>
        <v>0.8441558441558441</v>
      </c>
      <c r="AN59" s="60">
        <v>102</v>
      </c>
      <c r="AO59" s="87">
        <v>102</v>
      </c>
      <c r="AP59" s="62">
        <v>72</v>
      </c>
      <c r="AQ59" s="61">
        <f t="shared" si="5"/>
        <v>0.70588235294117652</v>
      </c>
      <c r="AR59" s="185"/>
      <c r="AS59" s="185"/>
      <c r="AT59" s="83">
        <v>72</v>
      </c>
      <c r="AU59" s="80">
        <f t="shared" si="6"/>
        <v>0.70588235294117652</v>
      </c>
      <c r="AV59" s="38">
        <v>20</v>
      </c>
      <c r="AW59" s="38">
        <v>15</v>
      </c>
      <c r="AX59" s="22">
        <f>AW59/AV59</f>
        <v>0.75</v>
      </c>
      <c r="AY59" s="60">
        <v>64</v>
      </c>
      <c r="AZ59" s="87">
        <v>64</v>
      </c>
      <c r="BA59" s="62">
        <v>27</v>
      </c>
      <c r="BB59" s="61">
        <f t="shared" si="7"/>
        <v>0.421875</v>
      </c>
      <c r="BC59" s="185"/>
      <c r="BD59" s="185"/>
      <c r="BE59" s="83">
        <v>27</v>
      </c>
      <c r="BF59" s="80">
        <f t="shared" si="8"/>
        <v>0.421875</v>
      </c>
      <c r="BG59" s="38"/>
      <c r="BH59" s="38"/>
      <c r="BI59" s="22"/>
      <c r="BJ59" s="60"/>
      <c r="BK59" s="87"/>
      <c r="BL59" s="62"/>
      <c r="BM59" s="61" t="e">
        <f t="shared" si="13"/>
        <v>#DIV/0!</v>
      </c>
      <c r="BN59" s="185"/>
      <c r="BO59" s="185"/>
      <c r="BP59" s="83"/>
      <c r="BQ59" s="80" t="e">
        <f t="shared" si="14"/>
        <v>#DIV/0!</v>
      </c>
      <c r="BR59" s="38">
        <v>10</v>
      </c>
      <c r="BS59" s="38">
        <v>10</v>
      </c>
      <c r="BT59" s="22">
        <f>BS59/BR59</f>
        <v>1</v>
      </c>
      <c r="BU59" s="60">
        <v>24</v>
      </c>
      <c r="BV59" s="87">
        <v>24</v>
      </c>
      <c r="BW59" s="62">
        <v>12</v>
      </c>
      <c r="BX59" s="61">
        <f t="shared" si="9"/>
        <v>0.5</v>
      </c>
      <c r="BY59" s="185"/>
      <c r="BZ59" s="185"/>
      <c r="CA59" s="83">
        <v>12</v>
      </c>
      <c r="CB59" s="80">
        <f t="shared" si="10"/>
        <v>0.5</v>
      </c>
      <c r="CC59" s="113" t="s">
        <v>235</v>
      </c>
      <c r="CD59" s="114"/>
    </row>
    <row r="60" spans="1:82" ht="30">
      <c r="A60" s="15">
        <v>53</v>
      </c>
      <c r="B60" s="92" t="s">
        <v>59</v>
      </c>
      <c r="C60" s="14" t="s">
        <v>198</v>
      </c>
      <c r="D60" s="21">
        <f>O60+Z60+AK60+AV60+BG60+BR60+218</f>
        <v>3820</v>
      </c>
      <c r="E60" s="21">
        <f>P60+AA60+AL60+AW60+BH60+BS60+208</f>
        <v>2102</v>
      </c>
      <c r="F60" s="22">
        <f>E60/D60</f>
        <v>0.55026178010471205</v>
      </c>
      <c r="G60" s="62">
        <f>R60+AC60+AN60+AY60+BJ60+BU60+218</f>
        <v>3820</v>
      </c>
      <c r="H60" s="83">
        <f>S60+AD60+AO60+AZ60+BK60+BV60+218</f>
        <v>3820</v>
      </c>
      <c r="I60" s="60">
        <f>T60+AE60+AP60+BA60++BL60+BW60+208</f>
        <v>2445</v>
      </c>
      <c r="J60" s="59">
        <f t="shared" si="0"/>
        <v>0.64005235602094246</v>
      </c>
      <c r="K60" s="182"/>
      <c r="L60" s="182"/>
      <c r="M60" s="49">
        <f>X60+AI60+AT60+BE60+BP60+CA60+208</f>
        <v>2536</v>
      </c>
      <c r="N60" s="16">
        <f>M60/H60</f>
        <v>0.66387434554973823</v>
      </c>
      <c r="O60" s="21">
        <v>229</v>
      </c>
      <c r="P60" s="21">
        <v>132</v>
      </c>
      <c r="Q60" s="22">
        <f>P60/O60</f>
        <v>0.57641921397379914</v>
      </c>
      <c r="R60" s="60">
        <v>229</v>
      </c>
      <c r="S60" s="87">
        <v>229</v>
      </c>
      <c r="T60" s="62">
        <v>165</v>
      </c>
      <c r="U60" s="61">
        <f t="shared" si="1"/>
        <v>0.72052401746724892</v>
      </c>
      <c r="V60" s="185"/>
      <c r="W60" s="185"/>
      <c r="X60" s="83">
        <v>170</v>
      </c>
      <c r="Y60" s="80">
        <f t="shared" si="2"/>
        <v>0.74235807860262004</v>
      </c>
      <c r="Z60" s="21">
        <v>52</v>
      </c>
      <c r="AA60" s="21">
        <v>24</v>
      </c>
      <c r="AB60" s="22">
        <f>AA60/Z60</f>
        <v>0.46153846153846156</v>
      </c>
      <c r="AC60" s="60">
        <v>52</v>
      </c>
      <c r="AD60" s="87">
        <v>52</v>
      </c>
      <c r="AE60" s="62">
        <v>29</v>
      </c>
      <c r="AF60" s="61">
        <f t="shared" si="3"/>
        <v>0.55769230769230771</v>
      </c>
      <c r="AG60" s="185"/>
      <c r="AH60" s="185"/>
      <c r="AI60" s="83">
        <v>31</v>
      </c>
      <c r="AJ60" s="80">
        <f t="shared" si="4"/>
        <v>0.59615384615384615</v>
      </c>
      <c r="AK60" s="21">
        <v>1401</v>
      </c>
      <c r="AL60" s="40">
        <v>743</v>
      </c>
      <c r="AM60" s="22">
        <f>AL60/AK60</f>
        <v>0.53033547466095643</v>
      </c>
      <c r="AN60" s="60">
        <v>1401</v>
      </c>
      <c r="AO60" s="87">
        <v>1401</v>
      </c>
      <c r="AP60" s="62">
        <v>903</v>
      </c>
      <c r="AQ60" s="61">
        <f t="shared" si="5"/>
        <v>0.64453961456102782</v>
      </c>
      <c r="AR60" s="185"/>
      <c r="AS60" s="185"/>
      <c r="AT60" s="83">
        <v>940</v>
      </c>
      <c r="AU60" s="80">
        <f t="shared" si="6"/>
        <v>0.67094932191291934</v>
      </c>
      <c r="AV60" s="21">
        <v>1445</v>
      </c>
      <c r="AW60" s="21">
        <v>710</v>
      </c>
      <c r="AX60" s="22">
        <f>AW60/AV60</f>
        <v>0.49134948096885811</v>
      </c>
      <c r="AY60" s="60">
        <v>1445</v>
      </c>
      <c r="AZ60" s="87">
        <v>1445</v>
      </c>
      <c r="BA60" s="62">
        <v>815</v>
      </c>
      <c r="BB60" s="61">
        <f t="shared" si="7"/>
        <v>0.56401384083044981</v>
      </c>
      <c r="BC60" s="185"/>
      <c r="BD60" s="185"/>
      <c r="BE60" s="83">
        <v>845</v>
      </c>
      <c r="BF60" s="80">
        <f t="shared" si="8"/>
        <v>0.58477508650519028</v>
      </c>
      <c r="BG60" s="21">
        <v>43</v>
      </c>
      <c r="BH60" s="21">
        <v>28</v>
      </c>
      <c r="BI60" s="22">
        <f>BH60/BG60</f>
        <v>0.65116279069767447</v>
      </c>
      <c r="BJ60" s="60">
        <v>43</v>
      </c>
      <c r="BK60" s="87">
        <v>43</v>
      </c>
      <c r="BL60" s="62">
        <v>28</v>
      </c>
      <c r="BM60" s="61">
        <f t="shared" si="13"/>
        <v>0.65116279069767447</v>
      </c>
      <c r="BN60" s="185"/>
      <c r="BO60" s="185"/>
      <c r="BP60" s="83">
        <v>33</v>
      </c>
      <c r="BQ60" s="80">
        <f t="shared" si="14"/>
        <v>0.76744186046511631</v>
      </c>
      <c r="BR60" s="21">
        <v>432</v>
      </c>
      <c r="BS60" s="21">
        <v>257</v>
      </c>
      <c r="BT60" s="22">
        <f>BS60/BR60</f>
        <v>0.59490740740740744</v>
      </c>
      <c r="BU60" s="60">
        <v>432</v>
      </c>
      <c r="BV60" s="87">
        <v>432</v>
      </c>
      <c r="BW60" s="62">
        <v>297</v>
      </c>
      <c r="BX60" s="61">
        <f t="shared" si="9"/>
        <v>0.6875</v>
      </c>
      <c r="BY60" s="185"/>
      <c r="BZ60" s="185"/>
      <c r="CA60" s="83">
        <v>309</v>
      </c>
      <c r="CB60" s="80">
        <f t="shared" si="10"/>
        <v>0.71527777777777779</v>
      </c>
      <c r="CC60" s="12"/>
      <c r="CD60" s="12"/>
    </row>
    <row r="61" spans="1:82" ht="90">
      <c r="A61" s="15">
        <v>54</v>
      </c>
      <c r="B61" s="92" t="s">
        <v>60</v>
      </c>
      <c r="C61" s="14" t="s">
        <v>199</v>
      </c>
      <c r="D61" s="21">
        <f>O61+Z61+AK61+AV61+BG61+BR61+16+10</f>
        <v>509</v>
      </c>
      <c r="E61" s="21">
        <f>P61+AA61+AL61+AW61+BH61+BS61+6+10</f>
        <v>266</v>
      </c>
      <c r="F61" s="22">
        <f>E61/D61</f>
        <v>0.52259332023575633</v>
      </c>
      <c r="G61" s="62">
        <f>R61+AC61+AN61+AY61+BJ61+BU61+16+10</f>
        <v>509</v>
      </c>
      <c r="H61" s="83">
        <f>S61+AD61+AO61+AZ61+BK61+BV61+16+10</f>
        <v>509</v>
      </c>
      <c r="I61" s="60">
        <f>T61+AE61+AP61+BA61++BL61+BW61+10+6+1</f>
        <v>323</v>
      </c>
      <c r="J61" s="59">
        <f t="shared" si="0"/>
        <v>0.63457760314341849</v>
      </c>
      <c r="K61" s="182"/>
      <c r="L61" s="182"/>
      <c r="M61" s="49">
        <f>X61+AI61+AT61+BE61+BP61+CA61+10+6+1+2</f>
        <v>354</v>
      </c>
      <c r="N61" s="16">
        <f>M61/H61</f>
        <v>0.69548133595284878</v>
      </c>
      <c r="O61" s="21">
        <v>88</v>
      </c>
      <c r="P61" s="21">
        <v>50</v>
      </c>
      <c r="Q61" s="22">
        <f>P61/O61</f>
        <v>0.56818181818181823</v>
      </c>
      <c r="R61" s="60">
        <v>88</v>
      </c>
      <c r="S61" s="87">
        <v>88</v>
      </c>
      <c r="T61" s="62">
        <v>72</v>
      </c>
      <c r="U61" s="61">
        <f t="shared" si="1"/>
        <v>0.81818181818181823</v>
      </c>
      <c r="V61" s="185"/>
      <c r="W61" s="185"/>
      <c r="X61" s="83">
        <v>75</v>
      </c>
      <c r="Y61" s="80">
        <f t="shared" si="2"/>
        <v>0.85227272727272729</v>
      </c>
      <c r="Z61" s="21">
        <v>17</v>
      </c>
      <c r="AA61" s="21">
        <v>8</v>
      </c>
      <c r="AB61" s="22">
        <f>AA61/Z61</f>
        <v>0.47058823529411764</v>
      </c>
      <c r="AC61" s="60">
        <v>17</v>
      </c>
      <c r="AD61" s="87">
        <v>17</v>
      </c>
      <c r="AE61" s="62">
        <v>13</v>
      </c>
      <c r="AF61" s="61">
        <f t="shared" si="3"/>
        <v>0.76470588235294112</v>
      </c>
      <c r="AG61" s="185"/>
      <c r="AH61" s="185"/>
      <c r="AI61" s="83">
        <v>19</v>
      </c>
      <c r="AJ61" s="80">
        <f t="shared" si="4"/>
        <v>1.1176470588235294</v>
      </c>
      <c r="AK61" s="21">
        <v>174</v>
      </c>
      <c r="AL61" s="21">
        <v>99</v>
      </c>
      <c r="AM61" s="22">
        <f>AL61/AK61</f>
        <v>0.56896551724137934</v>
      </c>
      <c r="AN61" s="60">
        <v>174</v>
      </c>
      <c r="AO61" s="87">
        <v>174</v>
      </c>
      <c r="AP61" s="62">
        <v>127</v>
      </c>
      <c r="AQ61" s="61">
        <f t="shared" si="5"/>
        <v>0.72988505747126442</v>
      </c>
      <c r="AR61" s="185"/>
      <c r="AS61" s="185"/>
      <c r="AT61" s="83">
        <v>129</v>
      </c>
      <c r="AU61" s="80">
        <f t="shared" si="6"/>
        <v>0.74137931034482762</v>
      </c>
      <c r="AV61" s="21">
        <v>151</v>
      </c>
      <c r="AW61" s="21">
        <v>63</v>
      </c>
      <c r="AX61" s="22">
        <f>AW61/AV61</f>
        <v>0.41721854304635764</v>
      </c>
      <c r="AY61" s="60">
        <v>151</v>
      </c>
      <c r="AZ61" s="87">
        <v>151</v>
      </c>
      <c r="BA61" s="62">
        <v>64</v>
      </c>
      <c r="BB61" s="61">
        <f t="shared" si="7"/>
        <v>0.42384105960264901</v>
      </c>
      <c r="BC61" s="185"/>
      <c r="BD61" s="185"/>
      <c r="BE61" s="83">
        <v>82</v>
      </c>
      <c r="BF61" s="80">
        <f t="shared" si="8"/>
        <v>0.54304635761589404</v>
      </c>
      <c r="BG61" s="21">
        <v>11</v>
      </c>
      <c r="BH61" s="21">
        <v>7</v>
      </c>
      <c r="BI61" s="22">
        <f>BH61/BG61</f>
        <v>0.63636363636363635</v>
      </c>
      <c r="BJ61" s="60">
        <v>11</v>
      </c>
      <c r="BK61" s="87">
        <v>11</v>
      </c>
      <c r="BL61" s="62">
        <v>7</v>
      </c>
      <c r="BM61" s="61">
        <f t="shared" si="13"/>
        <v>0.63636363636363635</v>
      </c>
      <c r="BN61" s="185"/>
      <c r="BO61" s="185"/>
      <c r="BP61" s="83">
        <v>7</v>
      </c>
      <c r="BQ61" s="80">
        <f t="shared" si="14"/>
        <v>0.63636363636363635</v>
      </c>
      <c r="BR61" s="21">
        <v>42</v>
      </c>
      <c r="BS61" s="21">
        <v>23</v>
      </c>
      <c r="BT61" s="22">
        <f>BS61/BR61</f>
        <v>0.54761904761904767</v>
      </c>
      <c r="BU61" s="60">
        <v>42</v>
      </c>
      <c r="BV61" s="87">
        <v>42</v>
      </c>
      <c r="BW61" s="62">
        <v>23</v>
      </c>
      <c r="BX61" s="61">
        <f t="shared" si="9"/>
        <v>0.54761904761904767</v>
      </c>
      <c r="BY61" s="185"/>
      <c r="BZ61" s="185"/>
      <c r="CA61" s="83">
        <v>23</v>
      </c>
      <c r="CB61" s="80">
        <f t="shared" si="10"/>
        <v>0.54761904761904767</v>
      </c>
      <c r="CC61" s="12"/>
      <c r="CD61" s="12"/>
    </row>
    <row r="62" spans="1:82" ht="90.75" customHeight="1">
      <c r="A62" s="15">
        <v>55</v>
      </c>
      <c r="B62" s="92" t="s">
        <v>61</v>
      </c>
      <c r="C62" s="14"/>
      <c r="D62" s="21">
        <f>O62+Z62+AK62+AV62+BG62+BR62+14</f>
        <v>243</v>
      </c>
      <c r="E62" s="21">
        <f>P62+AA62+AL62+AW62+BH62+BS62+14</f>
        <v>194</v>
      </c>
      <c r="F62" s="22">
        <f>E62/D62</f>
        <v>0.79835390946502061</v>
      </c>
      <c r="G62" s="62">
        <f>R62+AC62+AN62+AY62+BJ62+BU62</f>
        <v>280</v>
      </c>
      <c r="H62" s="83">
        <f>S62+AD62+AO62+AZ62+BK62+BV62</f>
        <v>280</v>
      </c>
      <c r="I62" s="60">
        <f>T62+AE62+AP62+BA62++BL62+BW62+14</f>
        <v>219</v>
      </c>
      <c r="J62" s="59">
        <f t="shared" si="0"/>
        <v>0.78214285714285714</v>
      </c>
      <c r="K62" s="182"/>
      <c r="L62" s="182"/>
      <c r="M62" s="49">
        <f>X62+AI62+AT62+BE62+BP62+CA62+14</f>
        <v>234</v>
      </c>
      <c r="N62" s="16">
        <f>M62/H62</f>
        <v>0.83571428571428574</v>
      </c>
      <c r="O62" s="31">
        <v>88</v>
      </c>
      <c r="P62" s="31">
        <v>79</v>
      </c>
      <c r="Q62" s="22">
        <f>P62/O62</f>
        <v>0.89772727272727271</v>
      </c>
      <c r="R62" s="60">
        <v>117</v>
      </c>
      <c r="S62" s="87">
        <v>117</v>
      </c>
      <c r="T62" s="62">
        <v>95</v>
      </c>
      <c r="U62" s="61">
        <f t="shared" si="1"/>
        <v>0.81196581196581197</v>
      </c>
      <c r="V62" s="185"/>
      <c r="W62" s="185"/>
      <c r="X62" s="83">
        <v>106</v>
      </c>
      <c r="Y62" s="80">
        <f t="shared" si="2"/>
        <v>0.90598290598290598</v>
      </c>
      <c r="Z62" s="31">
        <v>15</v>
      </c>
      <c r="AA62" s="31">
        <v>14</v>
      </c>
      <c r="AB62" s="22">
        <f>AA62/Z62</f>
        <v>0.93333333333333335</v>
      </c>
      <c r="AC62" s="60">
        <v>34</v>
      </c>
      <c r="AD62" s="87">
        <v>34</v>
      </c>
      <c r="AE62" s="62">
        <v>17</v>
      </c>
      <c r="AF62" s="61">
        <f t="shared" si="3"/>
        <v>0.5</v>
      </c>
      <c r="AG62" s="185"/>
      <c r="AH62" s="185"/>
      <c r="AI62" s="83">
        <v>17</v>
      </c>
      <c r="AJ62" s="80">
        <f t="shared" si="4"/>
        <v>0.5</v>
      </c>
      <c r="AK62" s="31">
        <v>71</v>
      </c>
      <c r="AL62" s="31">
        <v>43</v>
      </c>
      <c r="AM62" s="22">
        <f>AL62/AK62</f>
        <v>0.60563380281690138</v>
      </c>
      <c r="AN62" s="60">
        <v>70</v>
      </c>
      <c r="AO62" s="87">
        <v>70</v>
      </c>
      <c r="AP62" s="62">
        <v>44</v>
      </c>
      <c r="AQ62" s="61">
        <f t="shared" si="5"/>
        <v>0.62857142857142856</v>
      </c>
      <c r="AR62" s="185"/>
      <c r="AS62" s="185"/>
      <c r="AT62" s="83">
        <v>45</v>
      </c>
      <c r="AU62" s="80">
        <f t="shared" si="6"/>
        <v>0.6428571428571429</v>
      </c>
      <c r="AV62" s="31">
        <v>22</v>
      </c>
      <c r="AW62" s="31">
        <v>16</v>
      </c>
      <c r="AX62" s="22">
        <f>AW62/AV62</f>
        <v>0.72727272727272729</v>
      </c>
      <c r="AY62" s="60">
        <v>22</v>
      </c>
      <c r="AZ62" s="87">
        <v>22</v>
      </c>
      <c r="BA62" s="62">
        <v>17</v>
      </c>
      <c r="BB62" s="61">
        <f t="shared" si="7"/>
        <v>0.77272727272727271</v>
      </c>
      <c r="BC62" s="185"/>
      <c r="BD62" s="185"/>
      <c r="BE62" s="83">
        <v>19</v>
      </c>
      <c r="BF62" s="80">
        <f t="shared" si="8"/>
        <v>0.86363636363636365</v>
      </c>
      <c r="BG62" s="31">
        <v>11</v>
      </c>
      <c r="BH62" s="31">
        <v>9</v>
      </c>
      <c r="BI62" s="22">
        <f>BH62/BG62</f>
        <v>0.81818181818181823</v>
      </c>
      <c r="BJ62" s="60">
        <v>11</v>
      </c>
      <c r="BK62" s="87">
        <v>11</v>
      </c>
      <c r="BL62" s="62">
        <v>9</v>
      </c>
      <c r="BM62" s="61">
        <f t="shared" si="13"/>
        <v>0.81818181818181823</v>
      </c>
      <c r="BN62" s="185"/>
      <c r="BO62" s="185"/>
      <c r="BP62" s="83">
        <v>9</v>
      </c>
      <c r="BQ62" s="80">
        <f t="shared" si="14"/>
        <v>0.81818181818181823</v>
      </c>
      <c r="BR62" s="31">
        <v>22</v>
      </c>
      <c r="BS62" s="31">
        <v>19</v>
      </c>
      <c r="BT62" s="22">
        <f>BS62/BR62</f>
        <v>0.86363636363636365</v>
      </c>
      <c r="BU62" s="60">
        <v>26</v>
      </c>
      <c r="BV62" s="87">
        <v>26</v>
      </c>
      <c r="BW62" s="62">
        <v>23</v>
      </c>
      <c r="BX62" s="61">
        <f t="shared" si="9"/>
        <v>0.88461538461538458</v>
      </c>
      <c r="BY62" s="185"/>
      <c r="BZ62" s="185"/>
      <c r="CA62" s="83">
        <v>24</v>
      </c>
      <c r="CB62" s="80">
        <f t="shared" si="10"/>
        <v>0.92307692307692313</v>
      </c>
      <c r="CC62" s="113" t="s">
        <v>221</v>
      </c>
      <c r="CD62" s="114"/>
    </row>
    <row r="63" spans="1:82" ht="87" customHeight="1">
      <c r="A63" s="15">
        <v>56</v>
      </c>
      <c r="B63" s="104" t="s">
        <v>62</v>
      </c>
      <c r="C63" s="14" t="s">
        <v>204</v>
      </c>
      <c r="D63" s="21">
        <v>168</v>
      </c>
      <c r="E63" s="21">
        <v>91</v>
      </c>
      <c r="F63" s="22">
        <v>0.54166666666666663</v>
      </c>
      <c r="G63" s="62">
        <f>R63+AC63+AN63+AY63+BJ63+BU63+5</f>
        <v>139</v>
      </c>
      <c r="H63" s="83">
        <f>S63+AD63+AO63+AZ63+BK63+BV63+5</f>
        <v>139</v>
      </c>
      <c r="I63" s="60">
        <f>T63+AE63+AP63+BA63++BL63+BW63+5</f>
        <v>100</v>
      </c>
      <c r="J63" s="59">
        <f t="shared" si="0"/>
        <v>0.71942446043165464</v>
      </c>
      <c r="K63" s="182"/>
      <c r="L63" s="182"/>
      <c r="M63" s="49">
        <f>X63+AI63+AT63+BE63+BP63+CA63</f>
        <v>101</v>
      </c>
      <c r="N63" s="16">
        <f>M63/H63</f>
        <v>0.72661870503597126</v>
      </c>
      <c r="O63" s="21">
        <v>59</v>
      </c>
      <c r="P63" s="21">
        <v>40</v>
      </c>
      <c r="Q63" s="22">
        <v>0.67796610169491522</v>
      </c>
      <c r="R63" s="60">
        <v>59</v>
      </c>
      <c r="S63" s="87">
        <v>59</v>
      </c>
      <c r="T63" s="62">
        <v>43</v>
      </c>
      <c r="U63" s="61">
        <f t="shared" si="1"/>
        <v>0.72881355932203384</v>
      </c>
      <c r="V63" s="185"/>
      <c r="W63" s="185"/>
      <c r="X63" s="83">
        <v>44</v>
      </c>
      <c r="Y63" s="80">
        <f t="shared" si="2"/>
        <v>0.74576271186440679</v>
      </c>
      <c r="Z63" s="21">
        <v>16</v>
      </c>
      <c r="AA63" s="21">
        <v>10</v>
      </c>
      <c r="AB63" s="22">
        <v>0.625</v>
      </c>
      <c r="AC63" s="60">
        <v>16</v>
      </c>
      <c r="AD63" s="87">
        <v>16</v>
      </c>
      <c r="AE63" s="62">
        <v>12</v>
      </c>
      <c r="AF63" s="61">
        <f t="shared" si="3"/>
        <v>0.75</v>
      </c>
      <c r="AG63" s="185"/>
      <c r="AH63" s="185"/>
      <c r="AI63" s="83">
        <v>13</v>
      </c>
      <c r="AJ63" s="80">
        <f t="shared" si="4"/>
        <v>0.8125</v>
      </c>
      <c r="AK63" s="21">
        <v>19</v>
      </c>
      <c r="AL63" s="21">
        <v>11</v>
      </c>
      <c r="AM63" s="22">
        <v>0.57894736842105265</v>
      </c>
      <c r="AN63" s="60">
        <v>19</v>
      </c>
      <c r="AO63" s="87">
        <v>19</v>
      </c>
      <c r="AP63" s="62">
        <v>13</v>
      </c>
      <c r="AQ63" s="61">
        <f t="shared" si="5"/>
        <v>0.68421052631578949</v>
      </c>
      <c r="AR63" s="185"/>
      <c r="AS63" s="185"/>
      <c r="AT63" s="83">
        <v>14</v>
      </c>
      <c r="AU63" s="80">
        <f t="shared" si="6"/>
        <v>0.73684210526315785</v>
      </c>
      <c r="AV63" s="21">
        <v>17</v>
      </c>
      <c r="AW63" s="21">
        <v>10</v>
      </c>
      <c r="AX63" s="22">
        <v>0.58823529411764708</v>
      </c>
      <c r="AY63" s="60">
        <v>17</v>
      </c>
      <c r="AZ63" s="87">
        <v>17</v>
      </c>
      <c r="BA63" s="62">
        <v>11</v>
      </c>
      <c r="BB63" s="61">
        <f t="shared" si="7"/>
        <v>0.6470588235294118</v>
      </c>
      <c r="BC63" s="185"/>
      <c r="BD63" s="185"/>
      <c r="BE63" s="83">
        <v>12</v>
      </c>
      <c r="BF63" s="80">
        <f t="shared" si="8"/>
        <v>0.70588235294117652</v>
      </c>
      <c r="BG63" s="21">
        <v>4</v>
      </c>
      <c r="BH63" s="21">
        <v>0</v>
      </c>
      <c r="BI63" s="22"/>
      <c r="BJ63" s="60"/>
      <c r="BK63" s="87"/>
      <c r="BL63" s="62">
        <v>0</v>
      </c>
      <c r="BM63" s="61" t="e">
        <f t="shared" si="13"/>
        <v>#DIV/0!</v>
      </c>
      <c r="BN63" s="185"/>
      <c r="BO63" s="185"/>
      <c r="BP63" s="83">
        <v>0</v>
      </c>
      <c r="BQ63" s="80" t="e">
        <f t="shared" si="14"/>
        <v>#DIV/0!</v>
      </c>
      <c r="BR63" s="21">
        <v>23</v>
      </c>
      <c r="BS63" s="21">
        <v>15</v>
      </c>
      <c r="BT63" s="22">
        <v>0.65217391304347827</v>
      </c>
      <c r="BU63" s="60">
        <v>23</v>
      </c>
      <c r="BV63" s="87">
        <v>23</v>
      </c>
      <c r="BW63" s="62">
        <v>16</v>
      </c>
      <c r="BX63" s="61">
        <f t="shared" si="9"/>
        <v>0.69565217391304346</v>
      </c>
      <c r="BY63" s="185"/>
      <c r="BZ63" s="185"/>
      <c r="CA63" s="83">
        <v>18</v>
      </c>
      <c r="CB63" s="80">
        <f t="shared" si="10"/>
        <v>0.78260869565217395</v>
      </c>
      <c r="CC63" s="113" t="s">
        <v>207</v>
      </c>
      <c r="CD63" s="114"/>
    </row>
    <row r="64" spans="1:82">
      <c r="A64" s="15">
        <v>57</v>
      </c>
      <c r="B64" s="92" t="s">
        <v>63</v>
      </c>
      <c r="C64" s="14"/>
      <c r="D64" s="21">
        <f>O64+Z64+AK64+AV64+BG64+BR64+14</f>
        <v>991</v>
      </c>
      <c r="E64" s="21">
        <f>P64+AA64+AL64+AW64+BH64+BS64+14</f>
        <v>537</v>
      </c>
      <c r="F64" s="22">
        <f>E64/D64</f>
        <v>0.54187689202825429</v>
      </c>
      <c r="G64" s="62">
        <f t="shared" si="11"/>
        <v>977</v>
      </c>
      <c r="H64" s="83">
        <f t="shared" si="12"/>
        <v>977</v>
      </c>
      <c r="I64" s="60">
        <f>C64+T64+AE64+AP64+BA64++BL64+BW64</f>
        <v>610</v>
      </c>
      <c r="J64" s="59">
        <f t="shared" si="0"/>
        <v>0.62436028659160692</v>
      </c>
      <c r="K64" s="182"/>
      <c r="L64" s="182"/>
      <c r="M64" s="49">
        <f>X64+AI64+AT64+BE64+BP64+CA64</f>
        <v>651</v>
      </c>
      <c r="N64" s="16">
        <f>M64/H64</f>
        <v>0.66632548618219034</v>
      </c>
      <c r="O64" s="20">
        <v>186</v>
      </c>
      <c r="P64" s="20">
        <v>112</v>
      </c>
      <c r="Q64" s="22">
        <f>P64/O64</f>
        <v>0.60215053763440862</v>
      </c>
      <c r="R64" s="60">
        <v>186</v>
      </c>
      <c r="S64" s="87">
        <v>186</v>
      </c>
      <c r="T64" s="62">
        <v>144</v>
      </c>
      <c r="U64" s="61">
        <f t="shared" si="1"/>
        <v>0.77419354838709675</v>
      </c>
      <c r="V64" s="185"/>
      <c r="W64" s="185"/>
      <c r="X64" s="83">
        <v>149</v>
      </c>
      <c r="Y64" s="80">
        <f t="shared" si="2"/>
        <v>0.80107526881720426</v>
      </c>
      <c r="Z64" s="20">
        <v>44</v>
      </c>
      <c r="AA64" s="20">
        <v>44</v>
      </c>
      <c r="AB64" s="22">
        <f>AA64/Z64</f>
        <v>1</v>
      </c>
      <c r="AC64" s="60">
        <v>44</v>
      </c>
      <c r="AD64" s="87">
        <v>44</v>
      </c>
      <c r="AE64" s="62">
        <v>54</v>
      </c>
      <c r="AF64" s="61">
        <f t="shared" si="3"/>
        <v>1.2272727272727273</v>
      </c>
      <c r="AG64" s="185"/>
      <c r="AH64" s="185"/>
      <c r="AI64" s="83">
        <v>64</v>
      </c>
      <c r="AJ64" s="80">
        <f t="shared" si="4"/>
        <v>1.4545454545454546</v>
      </c>
      <c r="AK64" s="20">
        <v>507</v>
      </c>
      <c r="AL64" s="20">
        <v>257</v>
      </c>
      <c r="AM64" s="22">
        <f>AL64/AK64</f>
        <v>0.50690335305719925</v>
      </c>
      <c r="AN64" s="60">
        <v>507</v>
      </c>
      <c r="AO64" s="87">
        <v>507</v>
      </c>
      <c r="AP64" s="62">
        <v>284</v>
      </c>
      <c r="AQ64" s="61">
        <f t="shared" si="5"/>
        <v>0.56015779092702167</v>
      </c>
      <c r="AR64" s="185"/>
      <c r="AS64" s="185"/>
      <c r="AT64" s="83">
        <v>292</v>
      </c>
      <c r="AU64" s="80">
        <f t="shared" si="6"/>
        <v>0.57593688362919138</v>
      </c>
      <c r="AV64" s="20">
        <v>205</v>
      </c>
      <c r="AW64" s="20">
        <v>86</v>
      </c>
      <c r="AX64" s="22">
        <f>AW64/AV64</f>
        <v>0.4195121951219512</v>
      </c>
      <c r="AY64" s="60">
        <v>205</v>
      </c>
      <c r="AZ64" s="87">
        <v>205</v>
      </c>
      <c r="BA64" s="62">
        <v>101</v>
      </c>
      <c r="BB64" s="61">
        <f t="shared" si="7"/>
        <v>0.49268292682926829</v>
      </c>
      <c r="BC64" s="185"/>
      <c r="BD64" s="185"/>
      <c r="BE64" s="83">
        <v>116</v>
      </c>
      <c r="BF64" s="80">
        <f t="shared" si="8"/>
        <v>0.56585365853658531</v>
      </c>
      <c r="BG64" s="21"/>
      <c r="BH64" s="21"/>
      <c r="BI64" s="22"/>
      <c r="BJ64" s="60"/>
      <c r="BK64" s="87"/>
      <c r="BL64" s="62"/>
      <c r="BM64" s="61" t="e">
        <f t="shared" si="13"/>
        <v>#DIV/0!</v>
      </c>
      <c r="BN64" s="185"/>
      <c r="BO64" s="185"/>
      <c r="BP64" s="83"/>
      <c r="BQ64" s="80" t="e">
        <f t="shared" si="14"/>
        <v>#DIV/0!</v>
      </c>
      <c r="BR64" s="20">
        <v>35</v>
      </c>
      <c r="BS64" s="20">
        <v>24</v>
      </c>
      <c r="BT64" s="22">
        <f>BS64/BR64</f>
        <v>0.68571428571428572</v>
      </c>
      <c r="BU64" s="60">
        <v>35</v>
      </c>
      <c r="BV64" s="87">
        <v>35</v>
      </c>
      <c r="BW64" s="62">
        <v>27</v>
      </c>
      <c r="BX64" s="61">
        <f t="shared" si="9"/>
        <v>0.77142857142857146</v>
      </c>
      <c r="BY64" s="185"/>
      <c r="BZ64" s="185"/>
      <c r="CA64" s="83">
        <v>30</v>
      </c>
      <c r="CB64" s="80">
        <f t="shared" si="10"/>
        <v>0.8571428571428571</v>
      </c>
      <c r="CC64" s="12"/>
      <c r="CD64" s="12"/>
    </row>
    <row r="65" spans="1:82" ht="195" customHeight="1">
      <c r="A65" s="15">
        <v>58</v>
      </c>
      <c r="B65" s="104" t="s">
        <v>64</v>
      </c>
      <c r="C65" s="14" t="s">
        <v>225</v>
      </c>
      <c r="D65" s="21">
        <v>928</v>
      </c>
      <c r="E65" s="21">
        <v>503</v>
      </c>
      <c r="F65" s="22">
        <v>0.54202586206896552</v>
      </c>
      <c r="G65" s="62">
        <f>R65+AC65+AN65+AY65+BJ65+BU65+338</f>
        <v>834</v>
      </c>
      <c r="H65" s="83">
        <f>S65+AD65+AO65+AZ65+BK65+BV65+338</f>
        <v>834</v>
      </c>
      <c r="I65" s="60">
        <f>T65+AE65+AP65+BA65++BL65+BW65+161</f>
        <v>534</v>
      </c>
      <c r="J65" s="59">
        <f t="shared" si="0"/>
        <v>0.64028776978417268</v>
      </c>
      <c r="K65" s="182"/>
      <c r="L65" s="182"/>
      <c r="M65" s="49">
        <f>X65+AI65+AT65+BE65+BP65+CA65</f>
        <v>373</v>
      </c>
      <c r="N65" s="16">
        <f>M65/H65</f>
        <v>0.44724220623501199</v>
      </c>
      <c r="O65" s="21">
        <v>148</v>
      </c>
      <c r="P65" s="21">
        <v>92</v>
      </c>
      <c r="Q65" s="22">
        <v>0.6216216216216216</v>
      </c>
      <c r="R65" s="60">
        <v>134</v>
      </c>
      <c r="S65" s="87">
        <v>134</v>
      </c>
      <c r="T65" s="62">
        <v>97</v>
      </c>
      <c r="U65" s="61">
        <f t="shared" si="1"/>
        <v>0.72388059701492535</v>
      </c>
      <c r="V65" s="185"/>
      <c r="W65" s="185"/>
      <c r="X65" s="83">
        <v>97</v>
      </c>
      <c r="Y65" s="80">
        <f t="shared" si="2"/>
        <v>0.72388059701492535</v>
      </c>
      <c r="Z65" s="21">
        <v>37</v>
      </c>
      <c r="AA65" s="21">
        <v>18</v>
      </c>
      <c r="AB65" s="22">
        <v>0.48648648648648651</v>
      </c>
      <c r="AC65" s="60">
        <v>37</v>
      </c>
      <c r="AD65" s="87">
        <v>37</v>
      </c>
      <c r="AE65" s="62">
        <v>22</v>
      </c>
      <c r="AF65" s="61">
        <f t="shared" si="3"/>
        <v>0.59459459459459463</v>
      </c>
      <c r="AG65" s="185"/>
      <c r="AH65" s="185"/>
      <c r="AI65" s="83">
        <v>22</v>
      </c>
      <c r="AJ65" s="80">
        <f t="shared" si="4"/>
        <v>0.59459459459459463</v>
      </c>
      <c r="AK65" s="21">
        <v>240</v>
      </c>
      <c r="AL65" s="21">
        <v>133</v>
      </c>
      <c r="AM65" s="22">
        <v>0.5541666666666667</v>
      </c>
      <c r="AN65" s="60">
        <v>137</v>
      </c>
      <c r="AO65" s="87">
        <v>137</v>
      </c>
      <c r="AP65" s="62">
        <v>138</v>
      </c>
      <c r="AQ65" s="61">
        <f t="shared" si="5"/>
        <v>1.0072992700729928</v>
      </c>
      <c r="AR65" s="185"/>
      <c r="AS65" s="185"/>
      <c r="AT65" s="83">
        <v>138</v>
      </c>
      <c r="AU65" s="80">
        <f t="shared" si="6"/>
        <v>1.0072992700729928</v>
      </c>
      <c r="AV65" s="21">
        <v>128</v>
      </c>
      <c r="AW65" s="21">
        <v>60</v>
      </c>
      <c r="AX65" s="22">
        <v>0.46875</v>
      </c>
      <c r="AY65" s="60">
        <v>128</v>
      </c>
      <c r="AZ65" s="87">
        <v>128</v>
      </c>
      <c r="BA65" s="62">
        <v>72</v>
      </c>
      <c r="BB65" s="61">
        <f t="shared" si="7"/>
        <v>0.5625</v>
      </c>
      <c r="BC65" s="185"/>
      <c r="BD65" s="185"/>
      <c r="BE65" s="83">
        <v>72</v>
      </c>
      <c r="BF65" s="80">
        <f t="shared" si="8"/>
        <v>0.5625</v>
      </c>
      <c r="BG65" s="21">
        <v>32</v>
      </c>
      <c r="BH65" s="21">
        <v>22</v>
      </c>
      <c r="BI65" s="22">
        <v>0.6875</v>
      </c>
      <c r="BJ65" s="60">
        <v>32</v>
      </c>
      <c r="BK65" s="87">
        <v>32</v>
      </c>
      <c r="BL65" s="62">
        <v>24</v>
      </c>
      <c r="BM65" s="61">
        <f t="shared" si="13"/>
        <v>0.75</v>
      </c>
      <c r="BN65" s="185"/>
      <c r="BO65" s="185"/>
      <c r="BP65" s="83">
        <v>24</v>
      </c>
      <c r="BQ65" s="80">
        <f t="shared" si="14"/>
        <v>0.75</v>
      </c>
      <c r="BR65" s="21">
        <v>28</v>
      </c>
      <c r="BS65" s="21">
        <v>17</v>
      </c>
      <c r="BT65" s="22">
        <v>0.6071428571428571</v>
      </c>
      <c r="BU65" s="60">
        <v>28</v>
      </c>
      <c r="BV65" s="87">
        <v>28</v>
      </c>
      <c r="BW65" s="62">
        <v>20</v>
      </c>
      <c r="BX65" s="61">
        <f t="shared" si="9"/>
        <v>0.7142857142857143</v>
      </c>
      <c r="BY65" s="185"/>
      <c r="BZ65" s="185"/>
      <c r="CA65" s="83">
        <v>20</v>
      </c>
      <c r="CB65" s="80">
        <f t="shared" si="10"/>
        <v>0.7142857142857143</v>
      </c>
      <c r="CC65" s="126" t="s">
        <v>226</v>
      </c>
      <c r="CD65" s="130"/>
    </row>
    <row r="66" spans="1:82" ht="84.75" customHeight="1">
      <c r="A66" s="15">
        <v>59</v>
      </c>
      <c r="B66" s="92" t="s">
        <v>65</v>
      </c>
      <c r="C66" s="14" t="s">
        <v>214</v>
      </c>
      <c r="D66" s="21">
        <v>2513</v>
      </c>
      <c r="E66" s="21">
        <v>1215</v>
      </c>
      <c r="F66" s="22">
        <v>0.4834858734580183</v>
      </c>
      <c r="G66" s="62">
        <f>R66+AC66+AN66+AY66+BJ66+BU66+1333+137</f>
        <v>2513</v>
      </c>
      <c r="H66" s="83">
        <f>S66+AD66+AO66+AZ66+BK66+BV66+1333+137</f>
        <v>2513</v>
      </c>
      <c r="I66" s="60">
        <f>T66+AE66+AP66+BA66++BL66+BW66+828</f>
        <v>1357</v>
      </c>
      <c r="J66" s="59">
        <f t="shared" si="0"/>
        <v>0.53999204138479906</v>
      </c>
      <c r="K66" s="182"/>
      <c r="L66" s="182"/>
      <c r="M66" s="49">
        <f>X66+AI66+AT66+BE66+BP66+CA66</f>
        <v>543</v>
      </c>
      <c r="N66" s="16">
        <f>M66/H66</f>
        <v>0.21607640270592918</v>
      </c>
      <c r="O66" s="31">
        <v>165</v>
      </c>
      <c r="P66" s="31">
        <v>71</v>
      </c>
      <c r="Q66" s="22">
        <v>0.4303030303030303</v>
      </c>
      <c r="R66" s="60">
        <v>165</v>
      </c>
      <c r="S66" s="87">
        <v>165</v>
      </c>
      <c r="T66" s="62">
        <v>85</v>
      </c>
      <c r="U66" s="61">
        <f t="shared" si="1"/>
        <v>0.51515151515151514</v>
      </c>
      <c r="V66" s="185"/>
      <c r="W66" s="185"/>
      <c r="X66" s="83">
        <v>93</v>
      </c>
      <c r="Y66" s="80">
        <f t="shared" si="2"/>
        <v>0.5636363636363636</v>
      </c>
      <c r="Z66" s="31">
        <v>28</v>
      </c>
      <c r="AA66" s="31">
        <v>15</v>
      </c>
      <c r="AB66" s="22">
        <v>0.5357142857142857</v>
      </c>
      <c r="AC66" s="60">
        <v>28</v>
      </c>
      <c r="AD66" s="87">
        <v>28</v>
      </c>
      <c r="AE66" s="62">
        <v>18</v>
      </c>
      <c r="AF66" s="61">
        <f t="shared" si="3"/>
        <v>0.6428571428571429</v>
      </c>
      <c r="AG66" s="185"/>
      <c r="AH66" s="185"/>
      <c r="AI66" s="83">
        <v>18</v>
      </c>
      <c r="AJ66" s="80">
        <f t="shared" si="4"/>
        <v>0.6428571428571429</v>
      </c>
      <c r="AK66" s="31">
        <v>549</v>
      </c>
      <c r="AL66" s="31">
        <v>281</v>
      </c>
      <c r="AM66" s="22">
        <v>0.51183970856102001</v>
      </c>
      <c r="AN66" s="60">
        <v>549</v>
      </c>
      <c r="AO66" s="87">
        <v>549</v>
      </c>
      <c r="AP66" s="62">
        <v>291</v>
      </c>
      <c r="AQ66" s="61">
        <f t="shared" si="5"/>
        <v>0.5300546448087432</v>
      </c>
      <c r="AR66" s="185"/>
      <c r="AS66" s="185"/>
      <c r="AT66" s="83">
        <v>293</v>
      </c>
      <c r="AU66" s="80">
        <f t="shared" si="6"/>
        <v>0.5336976320582878</v>
      </c>
      <c r="AV66" s="31">
        <v>209</v>
      </c>
      <c r="AW66" s="31">
        <v>67</v>
      </c>
      <c r="AX66" s="22">
        <v>0.32057416267942584</v>
      </c>
      <c r="AY66" s="60">
        <v>209</v>
      </c>
      <c r="AZ66" s="87">
        <v>209</v>
      </c>
      <c r="BA66" s="62">
        <v>72</v>
      </c>
      <c r="BB66" s="61">
        <f t="shared" si="7"/>
        <v>0.34449760765550241</v>
      </c>
      <c r="BC66" s="185"/>
      <c r="BD66" s="185"/>
      <c r="BE66" s="83">
        <v>74</v>
      </c>
      <c r="BF66" s="80">
        <f t="shared" si="8"/>
        <v>0.35406698564593303</v>
      </c>
      <c r="BG66" s="21">
        <v>29</v>
      </c>
      <c r="BH66" s="21">
        <v>9</v>
      </c>
      <c r="BI66" s="22">
        <v>0.31034482758620691</v>
      </c>
      <c r="BJ66" s="60">
        <v>29</v>
      </c>
      <c r="BK66" s="87">
        <v>29</v>
      </c>
      <c r="BL66" s="62">
        <v>10</v>
      </c>
      <c r="BM66" s="61">
        <f t="shared" si="13"/>
        <v>0.34482758620689657</v>
      </c>
      <c r="BN66" s="185"/>
      <c r="BO66" s="185"/>
      <c r="BP66" s="83">
        <v>12</v>
      </c>
      <c r="BQ66" s="80">
        <f t="shared" si="14"/>
        <v>0.41379310344827586</v>
      </c>
      <c r="BR66" s="31">
        <v>63</v>
      </c>
      <c r="BS66" s="31">
        <v>53</v>
      </c>
      <c r="BT66" s="22">
        <v>0.84126984126984128</v>
      </c>
      <c r="BU66" s="60">
        <v>63</v>
      </c>
      <c r="BV66" s="87">
        <v>63</v>
      </c>
      <c r="BW66" s="62">
        <v>53</v>
      </c>
      <c r="BX66" s="61">
        <f t="shared" si="9"/>
        <v>0.84126984126984128</v>
      </c>
      <c r="BY66" s="185"/>
      <c r="BZ66" s="185"/>
      <c r="CA66" s="83">
        <v>53</v>
      </c>
      <c r="CB66" s="80">
        <f t="shared" si="10"/>
        <v>0.84126984126984128</v>
      </c>
      <c r="CC66" s="12"/>
      <c r="CD66" s="12"/>
    </row>
    <row r="67" spans="1:82" ht="45">
      <c r="A67" s="15">
        <v>60</v>
      </c>
      <c r="B67" s="108" t="s">
        <v>66</v>
      </c>
      <c r="C67" s="14" t="s">
        <v>208</v>
      </c>
      <c r="D67" s="21">
        <f>O67+Z67+AK67+AV67+BG67+BR67+2</f>
        <v>42</v>
      </c>
      <c r="E67" s="21">
        <f>P67+AA67+AL67+AW67+BH67+BS67+2</f>
        <v>19</v>
      </c>
      <c r="F67" s="22">
        <f>E67/D67</f>
        <v>0.45238095238095238</v>
      </c>
      <c r="G67" s="62">
        <f>R67+AC67+AN67+AY67+BJ67+BU67+2</f>
        <v>41</v>
      </c>
      <c r="H67" s="83">
        <f>S67+AD67+AO67+AZ67+BK67+BV67+2</f>
        <v>41</v>
      </c>
      <c r="I67" s="60">
        <f>T67+AE67+AP67+BA67++BL67+BW67+2</f>
        <v>31</v>
      </c>
      <c r="J67" s="59">
        <f t="shared" si="0"/>
        <v>0.75609756097560976</v>
      </c>
      <c r="K67" s="182"/>
      <c r="L67" s="182"/>
      <c r="M67" s="49">
        <f>X67+AI67+AT67+BE67+BP67+CA67+2</f>
        <v>31</v>
      </c>
      <c r="N67" s="16">
        <f>M67/H67</f>
        <v>0.75609756097560976</v>
      </c>
      <c r="O67" s="21">
        <v>9</v>
      </c>
      <c r="P67" s="21">
        <v>3</v>
      </c>
      <c r="Q67" s="22">
        <f>P67/O67</f>
        <v>0.33333333333333331</v>
      </c>
      <c r="R67" s="60">
        <v>8</v>
      </c>
      <c r="S67" s="87">
        <v>8</v>
      </c>
      <c r="T67" s="62">
        <v>4</v>
      </c>
      <c r="U67" s="61">
        <f t="shared" si="1"/>
        <v>0.5</v>
      </c>
      <c r="V67" s="185"/>
      <c r="W67" s="185"/>
      <c r="X67" s="83">
        <v>4</v>
      </c>
      <c r="Y67" s="80">
        <f t="shared" si="2"/>
        <v>0.5</v>
      </c>
      <c r="Z67" s="21">
        <v>8</v>
      </c>
      <c r="AA67" s="21">
        <v>3</v>
      </c>
      <c r="AB67" s="22">
        <f>AA67/Z67</f>
        <v>0.375</v>
      </c>
      <c r="AC67" s="60">
        <v>8</v>
      </c>
      <c r="AD67" s="87">
        <v>8</v>
      </c>
      <c r="AE67" s="62">
        <v>5</v>
      </c>
      <c r="AF67" s="61">
        <f t="shared" si="3"/>
        <v>0.625</v>
      </c>
      <c r="AG67" s="185"/>
      <c r="AH67" s="185"/>
      <c r="AI67" s="83">
        <v>5</v>
      </c>
      <c r="AJ67" s="80">
        <f t="shared" si="4"/>
        <v>0.625</v>
      </c>
      <c r="AK67" s="21">
        <v>11</v>
      </c>
      <c r="AL67" s="21">
        <v>5</v>
      </c>
      <c r="AM67" s="22">
        <f>AL67/AK67</f>
        <v>0.45454545454545453</v>
      </c>
      <c r="AN67" s="60">
        <v>11</v>
      </c>
      <c r="AO67" s="87">
        <v>11</v>
      </c>
      <c r="AP67" s="62">
        <v>8</v>
      </c>
      <c r="AQ67" s="61">
        <f t="shared" si="5"/>
        <v>0.72727272727272729</v>
      </c>
      <c r="AR67" s="185"/>
      <c r="AS67" s="185"/>
      <c r="AT67" s="83">
        <v>8</v>
      </c>
      <c r="AU67" s="80">
        <f t="shared" si="6"/>
        <v>0.72727272727272729</v>
      </c>
      <c r="AV67" s="21">
        <v>10</v>
      </c>
      <c r="AW67" s="21">
        <v>4</v>
      </c>
      <c r="AX67" s="22">
        <f>AW67/AV67</f>
        <v>0.4</v>
      </c>
      <c r="AY67" s="60">
        <v>10</v>
      </c>
      <c r="AZ67" s="87">
        <v>10</v>
      </c>
      <c r="BA67" s="62">
        <v>10</v>
      </c>
      <c r="BB67" s="61">
        <f t="shared" si="7"/>
        <v>1</v>
      </c>
      <c r="BC67" s="185"/>
      <c r="BD67" s="185"/>
      <c r="BE67" s="83">
        <v>10</v>
      </c>
      <c r="BF67" s="80">
        <f t="shared" si="8"/>
        <v>1</v>
      </c>
      <c r="BG67" s="21"/>
      <c r="BH67" s="21"/>
      <c r="BI67" s="22"/>
      <c r="BJ67" s="60"/>
      <c r="BK67" s="87"/>
      <c r="BL67" s="62"/>
      <c r="BM67" s="61" t="e">
        <f t="shared" si="13"/>
        <v>#DIV/0!</v>
      </c>
      <c r="BN67" s="185"/>
      <c r="BO67" s="185"/>
      <c r="BP67" s="83"/>
      <c r="BQ67" s="80" t="e">
        <f t="shared" si="14"/>
        <v>#DIV/0!</v>
      </c>
      <c r="BR67" s="21">
        <v>2</v>
      </c>
      <c r="BS67" s="21">
        <v>2</v>
      </c>
      <c r="BT67" s="22">
        <f>BS67/BR67</f>
        <v>1</v>
      </c>
      <c r="BU67" s="60">
        <v>2</v>
      </c>
      <c r="BV67" s="87">
        <v>2</v>
      </c>
      <c r="BW67" s="62">
        <v>2</v>
      </c>
      <c r="BX67" s="61">
        <f t="shared" si="9"/>
        <v>1</v>
      </c>
      <c r="BY67" s="185"/>
      <c r="BZ67" s="185"/>
      <c r="CA67" s="83">
        <v>2</v>
      </c>
      <c r="CB67" s="80">
        <f t="shared" si="10"/>
        <v>1</v>
      </c>
      <c r="CC67" s="113" t="s">
        <v>209</v>
      </c>
      <c r="CD67" s="114"/>
    </row>
    <row r="68" spans="1:82" ht="76.5" customHeight="1">
      <c r="A68" s="15">
        <v>61</v>
      </c>
      <c r="B68" s="92" t="s">
        <v>67</v>
      </c>
      <c r="C68" s="14"/>
      <c r="D68" s="21">
        <v>311</v>
      </c>
      <c r="E68" s="21">
        <v>181</v>
      </c>
      <c r="F68" s="22">
        <v>0.58199356913183276</v>
      </c>
      <c r="G68" s="62">
        <f t="shared" si="11"/>
        <v>311</v>
      </c>
      <c r="H68" s="83">
        <f t="shared" si="12"/>
        <v>368</v>
      </c>
      <c r="I68" s="60">
        <f>C68+T68+AE68+AP68+BA68++BL68+BW68</f>
        <v>195</v>
      </c>
      <c r="J68" s="59">
        <f t="shared" si="0"/>
        <v>0.62700964630225076</v>
      </c>
      <c r="K68" s="182"/>
      <c r="L68" s="182"/>
      <c r="M68" s="49">
        <f>X68+AI68+AT68+BE68+BP68+CA68</f>
        <v>203</v>
      </c>
      <c r="N68" s="16">
        <f>M68/H68</f>
        <v>0.55163043478260865</v>
      </c>
      <c r="O68" s="21">
        <v>19</v>
      </c>
      <c r="P68" s="21">
        <v>16</v>
      </c>
      <c r="Q68" s="22">
        <v>0.88888888888888884</v>
      </c>
      <c r="R68" s="60">
        <v>19</v>
      </c>
      <c r="S68" s="87">
        <v>76</v>
      </c>
      <c r="T68" s="62">
        <v>19</v>
      </c>
      <c r="U68" s="61">
        <f t="shared" si="1"/>
        <v>1</v>
      </c>
      <c r="V68" s="185"/>
      <c r="W68" s="185"/>
      <c r="X68" s="83">
        <v>21</v>
      </c>
      <c r="Y68" s="80">
        <f t="shared" si="2"/>
        <v>0.27631578947368424</v>
      </c>
      <c r="Z68" s="21">
        <v>27</v>
      </c>
      <c r="AA68" s="21">
        <v>11</v>
      </c>
      <c r="AB68" s="22">
        <v>0.39285714285714285</v>
      </c>
      <c r="AC68" s="60">
        <v>27</v>
      </c>
      <c r="AD68" s="87">
        <v>27</v>
      </c>
      <c r="AE68" s="62">
        <v>13</v>
      </c>
      <c r="AF68" s="61">
        <f t="shared" si="3"/>
        <v>0.48148148148148145</v>
      </c>
      <c r="AG68" s="185"/>
      <c r="AH68" s="185"/>
      <c r="AI68" s="83">
        <v>15</v>
      </c>
      <c r="AJ68" s="80">
        <f t="shared" si="4"/>
        <v>0.55555555555555558</v>
      </c>
      <c r="AK68" s="21">
        <v>200</v>
      </c>
      <c r="AL68" s="21">
        <v>111</v>
      </c>
      <c r="AM68" s="22">
        <v>0.55500000000000005</v>
      </c>
      <c r="AN68" s="60">
        <v>200</v>
      </c>
      <c r="AO68" s="87">
        <v>200</v>
      </c>
      <c r="AP68" s="62">
        <v>115</v>
      </c>
      <c r="AQ68" s="61">
        <f t="shared" si="5"/>
        <v>0.57499999999999996</v>
      </c>
      <c r="AR68" s="185"/>
      <c r="AS68" s="185"/>
      <c r="AT68" s="83">
        <v>117</v>
      </c>
      <c r="AU68" s="80">
        <f t="shared" si="6"/>
        <v>0.58499999999999996</v>
      </c>
      <c r="AV68" s="21">
        <v>32</v>
      </c>
      <c r="AW68" s="21">
        <v>17</v>
      </c>
      <c r="AX68" s="22">
        <v>0.53125</v>
      </c>
      <c r="AY68" s="60">
        <v>32</v>
      </c>
      <c r="AZ68" s="87">
        <v>32</v>
      </c>
      <c r="BA68" s="62">
        <v>22</v>
      </c>
      <c r="BB68" s="61">
        <f t="shared" si="7"/>
        <v>0.6875</v>
      </c>
      <c r="BC68" s="185"/>
      <c r="BD68" s="185"/>
      <c r="BE68" s="83">
        <v>24</v>
      </c>
      <c r="BF68" s="80">
        <f t="shared" si="8"/>
        <v>0.75</v>
      </c>
      <c r="BG68" s="21">
        <v>19</v>
      </c>
      <c r="BH68" s="21">
        <v>18</v>
      </c>
      <c r="BI68" s="22">
        <v>0.94736842105263153</v>
      </c>
      <c r="BJ68" s="60">
        <v>19</v>
      </c>
      <c r="BK68" s="87">
        <v>19</v>
      </c>
      <c r="BL68" s="62">
        <v>18</v>
      </c>
      <c r="BM68" s="61">
        <f t="shared" si="13"/>
        <v>0.94736842105263153</v>
      </c>
      <c r="BN68" s="185"/>
      <c r="BO68" s="185"/>
      <c r="BP68" s="83">
        <v>18</v>
      </c>
      <c r="BQ68" s="80">
        <f t="shared" si="14"/>
        <v>0.94736842105263153</v>
      </c>
      <c r="BR68" s="21">
        <v>14</v>
      </c>
      <c r="BS68" s="21">
        <v>8</v>
      </c>
      <c r="BT68" s="22">
        <v>0.5714285714285714</v>
      </c>
      <c r="BU68" s="60">
        <v>14</v>
      </c>
      <c r="BV68" s="87">
        <v>14</v>
      </c>
      <c r="BW68" s="62">
        <v>8</v>
      </c>
      <c r="BX68" s="61">
        <f t="shared" si="9"/>
        <v>0.5714285714285714</v>
      </c>
      <c r="BY68" s="185"/>
      <c r="BZ68" s="185"/>
      <c r="CA68" s="83">
        <v>8</v>
      </c>
      <c r="CB68" s="80">
        <f t="shared" si="10"/>
        <v>0.5714285714285714</v>
      </c>
      <c r="CC68" s="113" t="s">
        <v>210</v>
      </c>
      <c r="CD68" s="114"/>
    </row>
    <row r="69" spans="1:82" ht="234.75" customHeight="1">
      <c r="A69" s="15">
        <v>62</v>
      </c>
      <c r="B69" s="92" t="s">
        <v>68</v>
      </c>
      <c r="C69" s="14"/>
      <c r="D69" s="21">
        <f>O69+Z69+AK69+AV69+BG69+BR69</f>
        <v>53</v>
      </c>
      <c r="E69" s="21">
        <f>P69+AA69+AL69+AW69+BH69+BS69</f>
        <v>36</v>
      </c>
      <c r="F69" s="22">
        <f>E69/D69</f>
        <v>0.67924528301886788</v>
      </c>
      <c r="G69" s="62">
        <f t="shared" si="11"/>
        <v>56</v>
      </c>
      <c r="H69" s="83">
        <f t="shared" si="12"/>
        <v>56</v>
      </c>
      <c r="I69" s="60">
        <f>T69+AE69+AP69+BA69++BL69+BW69</f>
        <v>52</v>
      </c>
      <c r="J69" s="59">
        <f t="shared" si="0"/>
        <v>0.9285714285714286</v>
      </c>
      <c r="K69" s="182"/>
      <c r="L69" s="182"/>
      <c r="M69" s="49">
        <f>X69+AI69+AT69+BE69+BP69+CA69</f>
        <v>53</v>
      </c>
      <c r="N69" s="16">
        <f>M69/H69</f>
        <v>0.9464285714285714</v>
      </c>
      <c r="O69" s="21">
        <v>13</v>
      </c>
      <c r="P69" s="21">
        <v>9</v>
      </c>
      <c r="Q69" s="22">
        <f>P69/O69</f>
        <v>0.69230769230769229</v>
      </c>
      <c r="R69" s="60">
        <v>13</v>
      </c>
      <c r="S69" s="87">
        <v>13</v>
      </c>
      <c r="T69" s="62">
        <v>10</v>
      </c>
      <c r="U69" s="61">
        <f t="shared" si="1"/>
        <v>0.76923076923076927</v>
      </c>
      <c r="V69" s="185"/>
      <c r="W69" s="185"/>
      <c r="X69" s="83">
        <v>11</v>
      </c>
      <c r="Y69" s="80">
        <f t="shared" si="2"/>
        <v>0.84615384615384615</v>
      </c>
      <c r="Z69" s="21">
        <v>13</v>
      </c>
      <c r="AA69" s="21">
        <v>13</v>
      </c>
      <c r="AB69" s="22">
        <f>AA69/Z69</f>
        <v>1</v>
      </c>
      <c r="AC69" s="60">
        <v>19</v>
      </c>
      <c r="AD69" s="87">
        <v>19</v>
      </c>
      <c r="AE69" s="62">
        <v>19</v>
      </c>
      <c r="AF69" s="61">
        <f t="shared" si="3"/>
        <v>1</v>
      </c>
      <c r="AG69" s="185"/>
      <c r="AH69" s="185"/>
      <c r="AI69" s="83">
        <v>19</v>
      </c>
      <c r="AJ69" s="80">
        <f t="shared" si="4"/>
        <v>1</v>
      </c>
      <c r="AK69" s="21">
        <v>6</v>
      </c>
      <c r="AL69" s="21">
        <v>4</v>
      </c>
      <c r="AM69" s="22">
        <f>AL69/AK69</f>
        <v>0.66666666666666663</v>
      </c>
      <c r="AN69" s="60">
        <v>6</v>
      </c>
      <c r="AO69" s="87">
        <v>6</v>
      </c>
      <c r="AP69" s="62">
        <v>6</v>
      </c>
      <c r="AQ69" s="61">
        <f t="shared" si="5"/>
        <v>1</v>
      </c>
      <c r="AR69" s="185"/>
      <c r="AS69" s="185"/>
      <c r="AT69" s="83">
        <v>6</v>
      </c>
      <c r="AU69" s="80">
        <f t="shared" si="6"/>
        <v>1</v>
      </c>
      <c r="AV69" s="21">
        <v>6</v>
      </c>
      <c r="AW69" s="21">
        <v>5</v>
      </c>
      <c r="AX69" s="22">
        <f>AW69/AV69</f>
        <v>0.83333333333333337</v>
      </c>
      <c r="AY69" s="60">
        <v>7</v>
      </c>
      <c r="AZ69" s="87">
        <v>7</v>
      </c>
      <c r="BA69" s="62">
        <v>6</v>
      </c>
      <c r="BB69" s="61">
        <f t="shared" si="7"/>
        <v>0.8571428571428571</v>
      </c>
      <c r="BC69" s="185"/>
      <c r="BD69" s="185"/>
      <c r="BE69" s="83">
        <v>6</v>
      </c>
      <c r="BF69" s="80">
        <f t="shared" si="8"/>
        <v>0.8571428571428571</v>
      </c>
      <c r="BG69" s="21">
        <v>11</v>
      </c>
      <c r="BH69" s="21">
        <v>1</v>
      </c>
      <c r="BI69" s="22">
        <f>BH69/BG69</f>
        <v>9.0909090909090912E-2</v>
      </c>
      <c r="BJ69" s="60">
        <v>4</v>
      </c>
      <c r="BK69" s="87">
        <v>4</v>
      </c>
      <c r="BL69" s="62">
        <v>4</v>
      </c>
      <c r="BM69" s="61">
        <f t="shared" si="13"/>
        <v>1</v>
      </c>
      <c r="BN69" s="185"/>
      <c r="BO69" s="185"/>
      <c r="BP69" s="83">
        <v>4</v>
      </c>
      <c r="BQ69" s="80">
        <f t="shared" si="14"/>
        <v>1</v>
      </c>
      <c r="BR69" s="21">
        <v>4</v>
      </c>
      <c r="BS69" s="21">
        <v>4</v>
      </c>
      <c r="BT69" s="22">
        <f>BS69/BR69</f>
        <v>1</v>
      </c>
      <c r="BU69" s="60">
        <v>7</v>
      </c>
      <c r="BV69" s="87">
        <v>7</v>
      </c>
      <c r="BW69" s="62">
        <v>7</v>
      </c>
      <c r="BX69" s="61">
        <f t="shared" si="9"/>
        <v>1</v>
      </c>
      <c r="BY69" s="185"/>
      <c r="BZ69" s="185"/>
      <c r="CA69" s="83">
        <v>7</v>
      </c>
      <c r="CB69" s="80">
        <f t="shared" si="10"/>
        <v>1</v>
      </c>
      <c r="CC69" s="113" t="s">
        <v>211</v>
      </c>
      <c r="CD69" s="114"/>
    </row>
    <row r="70" spans="1:82" ht="258.75" customHeight="1">
      <c r="A70" s="15">
        <v>63</v>
      </c>
      <c r="B70" s="92" t="s">
        <v>69</v>
      </c>
      <c r="C70" s="14" t="s">
        <v>216</v>
      </c>
      <c r="D70" s="21">
        <f>O70+Z70+AK70+AV70+BG70+BR70+119</f>
        <v>390</v>
      </c>
      <c r="E70" s="21">
        <f>P70+AA70+AL70+AW70+BH70+BS70+3</f>
        <v>215</v>
      </c>
      <c r="F70" s="22">
        <f>E70/D70</f>
        <v>0.55128205128205132</v>
      </c>
      <c r="G70" s="62">
        <f>R70+AC70+AN70+AY70+BJ70+BU70+3+119</f>
        <v>464</v>
      </c>
      <c r="H70" s="83">
        <f>S70+AD70+AO70+AZ70+BK70+BV70+3+119</f>
        <v>473</v>
      </c>
      <c r="I70" s="60">
        <f>T70+AE70+AP70+BA70++BL70+BW70+3</f>
        <v>260</v>
      </c>
      <c r="J70" s="59">
        <f t="shared" si="0"/>
        <v>0.56034482758620685</v>
      </c>
      <c r="K70" s="182"/>
      <c r="L70" s="182"/>
      <c r="M70" s="49">
        <f>X70+AI70+AT70+BE70+BP70+CA70</f>
        <v>266</v>
      </c>
      <c r="N70" s="16">
        <f>M70/H70</f>
        <v>0.56236786469344613</v>
      </c>
      <c r="O70" s="21">
        <v>61</v>
      </c>
      <c r="P70" s="21">
        <v>45</v>
      </c>
      <c r="Q70" s="22">
        <f>P70/O70</f>
        <v>0.73770491803278693</v>
      </c>
      <c r="R70" s="60">
        <v>71</v>
      </c>
      <c r="S70" s="87">
        <v>77</v>
      </c>
      <c r="T70" s="62">
        <v>45</v>
      </c>
      <c r="U70" s="61">
        <f t="shared" si="1"/>
        <v>0.63380281690140849</v>
      </c>
      <c r="V70" s="185"/>
      <c r="W70" s="185"/>
      <c r="X70" s="83">
        <v>51</v>
      </c>
      <c r="Y70" s="80">
        <f t="shared" si="2"/>
        <v>0.66233766233766234</v>
      </c>
      <c r="Z70" s="21"/>
      <c r="AA70" s="21"/>
      <c r="AB70" s="22"/>
      <c r="AC70" s="60"/>
      <c r="AD70" s="87"/>
      <c r="AE70" s="62"/>
      <c r="AF70" s="61" t="e">
        <f t="shared" si="3"/>
        <v>#DIV/0!</v>
      </c>
      <c r="AG70" s="185"/>
      <c r="AH70" s="185"/>
      <c r="AI70" s="83"/>
      <c r="AJ70" s="80" t="e">
        <f t="shared" si="4"/>
        <v>#DIV/0!</v>
      </c>
      <c r="AK70" s="21">
        <v>68</v>
      </c>
      <c r="AL70" s="21">
        <v>61</v>
      </c>
      <c r="AM70" s="22">
        <f>AL70/AK70</f>
        <v>0.8970588235294118</v>
      </c>
      <c r="AN70" s="60">
        <v>113</v>
      </c>
      <c r="AO70" s="87">
        <v>116</v>
      </c>
      <c r="AP70" s="62">
        <v>106</v>
      </c>
      <c r="AQ70" s="61">
        <f t="shared" si="5"/>
        <v>0.93805309734513276</v>
      </c>
      <c r="AR70" s="185"/>
      <c r="AS70" s="185"/>
      <c r="AT70" s="83">
        <v>109</v>
      </c>
      <c r="AU70" s="80">
        <f t="shared" si="6"/>
        <v>0.93965517241379315</v>
      </c>
      <c r="AV70" s="21">
        <v>84</v>
      </c>
      <c r="AW70" s="21">
        <v>59</v>
      </c>
      <c r="AX70" s="22">
        <f>AW70/AV70</f>
        <v>0.70238095238095233</v>
      </c>
      <c r="AY70" s="60">
        <v>93</v>
      </c>
      <c r="AZ70" s="87">
        <v>93</v>
      </c>
      <c r="BA70" s="62">
        <v>59</v>
      </c>
      <c r="BB70" s="61">
        <f t="shared" si="7"/>
        <v>0.63440860215053763</v>
      </c>
      <c r="BC70" s="185"/>
      <c r="BD70" s="185"/>
      <c r="BE70" s="83">
        <v>59</v>
      </c>
      <c r="BF70" s="80">
        <f t="shared" si="8"/>
        <v>0.63440860215053763</v>
      </c>
      <c r="BG70" s="21">
        <v>18</v>
      </c>
      <c r="BH70" s="21">
        <v>10</v>
      </c>
      <c r="BI70" s="22">
        <v>0</v>
      </c>
      <c r="BJ70" s="60">
        <v>18</v>
      </c>
      <c r="BK70" s="87">
        <v>18</v>
      </c>
      <c r="BL70" s="62">
        <v>10</v>
      </c>
      <c r="BM70" s="61">
        <f t="shared" si="13"/>
        <v>0.55555555555555558</v>
      </c>
      <c r="BN70" s="185"/>
      <c r="BO70" s="185"/>
      <c r="BP70" s="83">
        <v>10</v>
      </c>
      <c r="BQ70" s="80">
        <f t="shared" si="14"/>
        <v>0.55555555555555558</v>
      </c>
      <c r="BR70" s="21">
        <v>40</v>
      </c>
      <c r="BS70" s="21">
        <v>37</v>
      </c>
      <c r="BT70" s="22">
        <f>BS70/BR70</f>
        <v>0.92500000000000004</v>
      </c>
      <c r="BU70" s="60">
        <v>47</v>
      </c>
      <c r="BV70" s="87">
        <v>47</v>
      </c>
      <c r="BW70" s="62">
        <v>37</v>
      </c>
      <c r="BX70" s="61">
        <f t="shared" si="9"/>
        <v>0.78723404255319152</v>
      </c>
      <c r="BY70" s="185"/>
      <c r="BZ70" s="185"/>
      <c r="CA70" s="83">
        <v>37</v>
      </c>
      <c r="CB70" s="80">
        <f t="shared" si="10"/>
        <v>0.78723404255319152</v>
      </c>
      <c r="CC70" s="126" t="s">
        <v>215</v>
      </c>
      <c r="CD70" s="130"/>
    </row>
    <row r="71" spans="1:82" ht="75">
      <c r="A71" s="15">
        <v>64</v>
      </c>
      <c r="B71" s="92" t="s">
        <v>70</v>
      </c>
      <c r="C71" s="14" t="s">
        <v>212</v>
      </c>
      <c r="D71" s="21">
        <f>O71+Z71+AK71+AV71+BG71+BR71+4+1+17</f>
        <v>183</v>
      </c>
      <c r="E71" s="21">
        <f>P71+AA71+AL71+AW71+BH71+BS71+4</f>
        <v>99</v>
      </c>
      <c r="F71" s="22">
        <f>E71/D71</f>
        <v>0.54098360655737709</v>
      </c>
      <c r="G71" s="62">
        <f>R71+AC71+AN71+AY71+BJ71+BU71+4+26+1</f>
        <v>241</v>
      </c>
      <c r="H71" s="83">
        <f>S71+AD71+AO71+AZ71+BK71+BV71+4+26+1</f>
        <v>241</v>
      </c>
      <c r="I71" s="60">
        <f>T71+AE71+AP71+BA71+BL71+BW71+4</f>
        <v>133</v>
      </c>
      <c r="J71" s="59">
        <f>I71/G71</f>
        <v>0.55186721991701249</v>
      </c>
      <c r="K71" s="182"/>
      <c r="L71" s="182"/>
      <c r="M71" s="49">
        <f>X71+AI71+AT71+BE71+BP71+CA71+4</f>
        <v>142</v>
      </c>
      <c r="N71" s="16">
        <f>M71/H71</f>
        <v>0.58921161825726143</v>
      </c>
      <c r="O71" s="21">
        <v>35</v>
      </c>
      <c r="P71" s="21">
        <v>23</v>
      </c>
      <c r="Q71" s="22">
        <f>P71/O71</f>
        <v>0.65714285714285714</v>
      </c>
      <c r="R71" s="60">
        <v>44</v>
      </c>
      <c r="S71" s="87">
        <v>44</v>
      </c>
      <c r="T71" s="62">
        <v>28</v>
      </c>
      <c r="U71" s="61">
        <f t="shared" si="1"/>
        <v>0.63636363636363635</v>
      </c>
      <c r="V71" s="185"/>
      <c r="W71" s="185"/>
      <c r="X71" s="83">
        <v>28</v>
      </c>
      <c r="Y71" s="80">
        <f t="shared" si="2"/>
        <v>0.63636363636363635</v>
      </c>
      <c r="Z71" s="21">
        <v>13</v>
      </c>
      <c r="AA71" s="21">
        <v>7</v>
      </c>
      <c r="AB71" s="22">
        <f>AA71/Z71</f>
        <v>0.53846153846153844</v>
      </c>
      <c r="AC71" s="60">
        <v>19</v>
      </c>
      <c r="AD71" s="87">
        <v>19</v>
      </c>
      <c r="AE71" s="62">
        <v>12</v>
      </c>
      <c r="AF71" s="61">
        <f t="shared" si="3"/>
        <v>0.63157894736842102</v>
      </c>
      <c r="AG71" s="185"/>
      <c r="AH71" s="185"/>
      <c r="AI71" s="83">
        <v>12</v>
      </c>
      <c r="AJ71" s="80">
        <f t="shared" si="4"/>
        <v>0.63157894736842102</v>
      </c>
      <c r="AK71" s="21">
        <v>70</v>
      </c>
      <c r="AL71" s="21">
        <v>38</v>
      </c>
      <c r="AM71" s="22">
        <f>AL71/AK71</f>
        <v>0.54285714285714282</v>
      </c>
      <c r="AN71" s="60">
        <v>85</v>
      </c>
      <c r="AO71" s="87">
        <v>85</v>
      </c>
      <c r="AP71" s="62">
        <v>55</v>
      </c>
      <c r="AQ71" s="61">
        <f t="shared" si="5"/>
        <v>0.6470588235294118</v>
      </c>
      <c r="AR71" s="185"/>
      <c r="AS71" s="185"/>
      <c r="AT71" s="83">
        <v>59</v>
      </c>
      <c r="AU71" s="80">
        <f t="shared" si="6"/>
        <v>0.69411764705882351</v>
      </c>
      <c r="AV71" s="21">
        <v>33</v>
      </c>
      <c r="AW71" s="21">
        <v>20</v>
      </c>
      <c r="AX71" s="22">
        <f>AW71/AV71</f>
        <v>0.60606060606060608</v>
      </c>
      <c r="AY71" s="60">
        <v>44</v>
      </c>
      <c r="AZ71" s="87">
        <v>44</v>
      </c>
      <c r="BA71" s="62">
        <v>24</v>
      </c>
      <c r="BB71" s="61">
        <f t="shared" si="7"/>
        <v>0.54545454545454541</v>
      </c>
      <c r="BC71" s="185"/>
      <c r="BD71" s="185"/>
      <c r="BE71" s="83">
        <v>27</v>
      </c>
      <c r="BF71" s="80">
        <f t="shared" si="8"/>
        <v>0.61363636363636365</v>
      </c>
      <c r="BG71" s="21">
        <v>0</v>
      </c>
      <c r="BH71" s="21">
        <v>0</v>
      </c>
      <c r="BI71" s="22">
        <v>0</v>
      </c>
      <c r="BJ71" s="60">
        <v>0</v>
      </c>
      <c r="BK71" s="87">
        <v>0</v>
      </c>
      <c r="BL71" s="62">
        <v>0</v>
      </c>
      <c r="BM71" s="61">
        <v>0</v>
      </c>
      <c r="BN71" s="185"/>
      <c r="BO71" s="185"/>
      <c r="BP71" s="83">
        <v>0</v>
      </c>
      <c r="BQ71" s="80">
        <v>0</v>
      </c>
      <c r="BR71" s="21">
        <v>10</v>
      </c>
      <c r="BS71" s="21">
        <v>7</v>
      </c>
      <c r="BT71" s="22">
        <f>BS71/BR71</f>
        <v>0.7</v>
      </c>
      <c r="BU71" s="60">
        <v>18</v>
      </c>
      <c r="BV71" s="87">
        <v>18</v>
      </c>
      <c r="BW71" s="62">
        <v>10</v>
      </c>
      <c r="BX71" s="61">
        <f t="shared" si="9"/>
        <v>0.55555555555555558</v>
      </c>
      <c r="BY71" s="185"/>
      <c r="BZ71" s="185"/>
      <c r="CA71" s="83">
        <v>12</v>
      </c>
      <c r="CB71" s="80">
        <f t="shared" si="10"/>
        <v>0.66666666666666663</v>
      </c>
      <c r="CC71" s="12"/>
      <c r="CD71" s="12"/>
    </row>
    <row r="72" spans="1:82" ht="165">
      <c r="A72" s="15">
        <v>65</v>
      </c>
      <c r="B72" s="92" t="s">
        <v>71</v>
      </c>
      <c r="C72" s="14" t="s">
        <v>220</v>
      </c>
      <c r="D72" s="21">
        <f>O72+Z72+AK72+AV72+BG72+BR72+400</f>
        <v>1345</v>
      </c>
      <c r="E72" s="21">
        <f>P72+AA72+AL72+AW72+BH72+BS72+209</f>
        <v>729</v>
      </c>
      <c r="F72" s="22">
        <f>E72/D72</f>
        <v>0.54200743494423786</v>
      </c>
      <c r="G72" s="62">
        <f>R72+AC72+AN72+AY72+BJ72+BU72+401</f>
        <v>1345</v>
      </c>
      <c r="H72" s="83">
        <f>S72+AD72+AO72+AZ72+BK72+BV72+401</f>
        <v>1345</v>
      </c>
      <c r="I72" s="60">
        <f>T72+AE72+AP72+BA72++BL72+BW72+160+49</f>
        <v>742</v>
      </c>
      <c r="J72" s="59">
        <f t="shared" si="0"/>
        <v>0.55167286245353164</v>
      </c>
      <c r="K72" s="182"/>
      <c r="L72" s="182"/>
      <c r="M72" s="49">
        <f>X72+AI72+AT72+BE72+BP72+CA72+160+49</f>
        <v>753</v>
      </c>
      <c r="N72" s="16">
        <f>M72/H72</f>
        <v>0.55985130111524162</v>
      </c>
      <c r="O72" s="21">
        <v>220</v>
      </c>
      <c r="P72" s="21">
        <v>145</v>
      </c>
      <c r="Q72" s="22">
        <f>P72/O72</f>
        <v>0.65909090909090906</v>
      </c>
      <c r="R72" s="60">
        <v>220</v>
      </c>
      <c r="S72" s="87">
        <v>220</v>
      </c>
      <c r="T72" s="62">
        <v>148</v>
      </c>
      <c r="U72" s="61">
        <f t="shared" si="1"/>
        <v>0.67272727272727273</v>
      </c>
      <c r="V72" s="185"/>
      <c r="W72" s="185"/>
      <c r="X72" s="83">
        <v>150</v>
      </c>
      <c r="Y72" s="80">
        <f t="shared" si="2"/>
        <v>0.68181818181818177</v>
      </c>
      <c r="Z72" s="21">
        <v>37</v>
      </c>
      <c r="AA72" s="21">
        <v>18</v>
      </c>
      <c r="AB72" s="22">
        <f>AA72/Z72</f>
        <v>0.48648648648648651</v>
      </c>
      <c r="AC72" s="60">
        <v>36</v>
      </c>
      <c r="AD72" s="87">
        <v>36</v>
      </c>
      <c r="AE72" s="62">
        <v>21</v>
      </c>
      <c r="AF72" s="61">
        <f t="shared" si="3"/>
        <v>0.58333333333333337</v>
      </c>
      <c r="AG72" s="185"/>
      <c r="AH72" s="185"/>
      <c r="AI72" s="83">
        <v>24</v>
      </c>
      <c r="AJ72" s="80">
        <f t="shared" si="4"/>
        <v>0.66666666666666663</v>
      </c>
      <c r="AK72" s="21">
        <v>258</v>
      </c>
      <c r="AL72" s="21">
        <v>145</v>
      </c>
      <c r="AM72" s="22">
        <f>AL72/AK72</f>
        <v>0.56201550387596899</v>
      </c>
      <c r="AN72" s="60">
        <v>258</v>
      </c>
      <c r="AO72" s="87">
        <v>258</v>
      </c>
      <c r="AP72" s="62">
        <v>148</v>
      </c>
      <c r="AQ72" s="61">
        <f t="shared" si="5"/>
        <v>0.5736434108527132</v>
      </c>
      <c r="AR72" s="185"/>
      <c r="AS72" s="185"/>
      <c r="AT72" s="83">
        <v>150</v>
      </c>
      <c r="AU72" s="80">
        <f t="shared" si="6"/>
        <v>0.58139534883720934</v>
      </c>
      <c r="AV72" s="21">
        <v>350</v>
      </c>
      <c r="AW72" s="21">
        <v>163</v>
      </c>
      <c r="AX72" s="22">
        <f>AW72/AV72</f>
        <v>0.46571428571428569</v>
      </c>
      <c r="AY72" s="60">
        <v>350</v>
      </c>
      <c r="AZ72" s="87">
        <v>350</v>
      </c>
      <c r="BA72" s="62">
        <v>165</v>
      </c>
      <c r="BB72" s="61">
        <f t="shared" si="7"/>
        <v>0.47142857142857142</v>
      </c>
      <c r="BC72" s="185"/>
      <c r="BD72" s="185"/>
      <c r="BE72" s="83">
        <v>167</v>
      </c>
      <c r="BF72" s="80">
        <f t="shared" si="8"/>
        <v>0.47714285714285715</v>
      </c>
      <c r="BG72" s="21">
        <v>0</v>
      </c>
      <c r="BH72" s="21">
        <v>0</v>
      </c>
      <c r="BI72" s="22">
        <v>0</v>
      </c>
      <c r="BJ72" s="60">
        <v>0</v>
      </c>
      <c r="BK72" s="87">
        <v>0</v>
      </c>
      <c r="BL72" s="62">
        <v>0</v>
      </c>
      <c r="BM72" s="61">
        <v>0</v>
      </c>
      <c r="BN72" s="185"/>
      <c r="BO72" s="185"/>
      <c r="BP72" s="83">
        <v>0</v>
      </c>
      <c r="BQ72" s="80">
        <v>0</v>
      </c>
      <c r="BR72" s="21">
        <v>80</v>
      </c>
      <c r="BS72" s="21">
        <v>49</v>
      </c>
      <c r="BT72" s="22">
        <f>BS72/BR72</f>
        <v>0.61250000000000004</v>
      </c>
      <c r="BU72" s="60">
        <v>80</v>
      </c>
      <c r="BV72" s="87">
        <v>80</v>
      </c>
      <c r="BW72" s="62">
        <v>51</v>
      </c>
      <c r="BX72" s="61">
        <f t="shared" si="9"/>
        <v>0.63749999999999996</v>
      </c>
      <c r="BY72" s="185"/>
      <c r="BZ72" s="185"/>
      <c r="CA72" s="83">
        <v>53</v>
      </c>
      <c r="CB72" s="80">
        <f t="shared" si="10"/>
        <v>0.66249999999999998</v>
      </c>
      <c r="CC72" s="120"/>
      <c r="CD72" s="121"/>
    </row>
    <row r="73" spans="1:82" ht="30">
      <c r="A73" s="15">
        <v>66</v>
      </c>
      <c r="B73" s="92" t="s">
        <v>72</v>
      </c>
      <c r="C73" s="14" t="s">
        <v>206</v>
      </c>
      <c r="D73" s="21">
        <v>245</v>
      </c>
      <c r="E73" s="21">
        <v>161</v>
      </c>
      <c r="F73" s="22">
        <v>0.65714285714285714</v>
      </c>
      <c r="G73" s="62">
        <f>R73+AC73+AN73+AY73+BJ73+BU73+26</f>
        <v>245</v>
      </c>
      <c r="H73" s="83">
        <f>S73+AD73+AO73+AZ73+BK73+BV73+26</f>
        <v>245</v>
      </c>
      <c r="I73" s="60">
        <f>T73+AE73+AP73+BA73++BL73+BW73+26</f>
        <v>184</v>
      </c>
      <c r="J73" s="59">
        <f t="shared" ref="J73:J93" si="21">I73/G73</f>
        <v>0.75102040816326532</v>
      </c>
      <c r="K73" s="182"/>
      <c r="L73" s="182"/>
      <c r="M73" s="49">
        <f>X73+AI73+AT73+BE73+BP73+CA73+26</f>
        <v>189</v>
      </c>
      <c r="N73" s="16">
        <f>M73/H73</f>
        <v>0.77142857142857146</v>
      </c>
      <c r="O73" s="21">
        <v>61</v>
      </c>
      <c r="P73" s="21">
        <v>41</v>
      </c>
      <c r="Q73" s="22">
        <v>0.67213114754098358</v>
      </c>
      <c r="R73" s="60">
        <v>61</v>
      </c>
      <c r="S73" s="87">
        <v>61</v>
      </c>
      <c r="T73" s="62">
        <v>48</v>
      </c>
      <c r="U73" s="61">
        <f t="shared" ref="U73:U92" si="22">T73/R73</f>
        <v>0.78688524590163933</v>
      </c>
      <c r="V73" s="185"/>
      <c r="W73" s="185"/>
      <c r="X73" s="83">
        <v>50</v>
      </c>
      <c r="Y73" s="80">
        <f t="shared" ref="Y73:Y92" si="23">X73/S73</f>
        <v>0.81967213114754101</v>
      </c>
      <c r="Z73" s="21">
        <v>14</v>
      </c>
      <c r="AA73" s="21">
        <v>7</v>
      </c>
      <c r="AB73" s="22">
        <v>0.5</v>
      </c>
      <c r="AC73" s="60">
        <v>14</v>
      </c>
      <c r="AD73" s="87">
        <v>14</v>
      </c>
      <c r="AE73" s="62">
        <v>7</v>
      </c>
      <c r="AF73" s="61">
        <f t="shared" ref="AF73:AF92" si="24">AE73/AC73</f>
        <v>0.5</v>
      </c>
      <c r="AG73" s="185"/>
      <c r="AH73" s="185"/>
      <c r="AI73" s="83">
        <v>7</v>
      </c>
      <c r="AJ73" s="80">
        <f t="shared" ref="AJ73:AJ93" si="25">AI73/AD73</f>
        <v>0.5</v>
      </c>
      <c r="AK73" s="21">
        <v>29</v>
      </c>
      <c r="AL73" s="21">
        <v>16</v>
      </c>
      <c r="AM73" s="22">
        <v>0.55172413793103448</v>
      </c>
      <c r="AN73" s="60">
        <v>29</v>
      </c>
      <c r="AO73" s="87">
        <v>29</v>
      </c>
      <c r="AP73" s="62">
        <v>20</v>
      </c>
      <c r="AQ73" s="61">
        <f t="shared" ref="AQ73:AQ93" si="26">AP73/AN73</f>
        <v>0.68965517241379315</v>
      </c>
      <c r="AR73" s="185"/>
      <c r="AS73" s="185"/>
      <c r="AT73" s="83">
        <v>23</v>
      </c>
      <c r="AU73" s="80">
        <f t="shared" ref="AU73:AU93" si="27">AT73/AO73</f>
        <v>0.7931034482758621</v>
      </c>
      <c r="AV73" s="21">
        <v>65</v>
      </c>
      <c r="AW73" s="21">
        <v>40</v>
      </c>
      <c r="AX73" s="22">
        <v>0.61538461538461542</v>
      </c>
      <c r="AY73" s="60">
        <v>65</v>
      </c>
      <c r="AZ73" s="87">
        <v>65</v>
      </c>
      <c r="BA73" s="62">
        <v>46</v>
      </c>
      <c r="BB73" s="61">
        <f t="shared" ref="BB73:BB93" si="28">BA73/AY73</f>
        <v>0.70769230769230773</v>
      </c>
      <c r="BC73" s="185"/>
      <c r="BD73" s="185"/>
      <c r="BE73" s="83">
        <v>46</v>
      </c>
      <c r="BF73" s="80">
        <f t="shared" ref="BF73:BF93" si="29">BE73/AZ73</f>
        <v>0.70769230769230773</v>
      </c>
      <c r="BG73" s="21">
        <v>5</v>
      </c>
      <c r="BH73" s="21">
        <v>5</v>
      </c>
      <c r="BI73" s="22">
        <v>1</v>
      </c>
      <c r="BJ73" s="60">
        <v>5</v>
      </c>
      <c r="BK73" s="87">
        <v>5</v>
      </c>
      <c r="BL73" s="62">
        <v>5</v>
      </c>
      <c r="BM73" s="61">
        <f t="shared" ref="BM73:BM93" si="30">BL73/BJ73</f>
        <v>1</v>
      </c>
      <c r="BN73" s="185"/>
      <c r="BO73" s="185"/>
      <c r="BP73" s="83">
        <v>5</v>
      </c>
      <c r="BQ73" s="80">
        <f t="shared" ref="BQ73:BQ93" si="31">BP73/BK73</f>
        <v>1</v>
      </c>
      <c r="BR73" s="21">
        <v>45</v>
      </c>
      <c r="BS73" s="21">
        <v>26</v>
      </c>
      <c r="BT73" s="22">
        <v>0.57777777777777772</v>
      </c>
      <c r="BU73" s="60">
        <v>45</v>
      </c>
      <c r="BV73" s="87">
        <v>45</v>
      </c>
      <c r="BW73" s="62">
        <v>32</v>
      </c>
      <c r="BX73" s="61">
        <f t="shared" ref="BX73:BX93" si="32">BW73/BU73</f>
        <v>0.71111111111111114</v>
      </c>
      <c r="BY73" s="185"/>
      <c r="BZ73" s="185"/>
      <c r="CA73" s="83">
        <v>32</v>
      </c>
      <c r="CB73" s="80">
        <f t="shared" ref="CB73:CB93" si="33">CA73/BV73</f>
        <v>0.71111111111111114</v>
      </c>
      <c r="CC73" s="12"/>
      <c r="CD73" s="12"/>
    </row>
    <row r="74" spans="1:82" ht="245.25" customHeight="1">
      <c r="A74" s="15">
        <v>67</v>
      </c>
      <c r="B74" s="92" t="s">
        <v>73</v>
      </c>
      <c r="C74" s="14" t="s">
        <v>203</v>
      </c>
      <c r="D74" s="21">
        <f>O74+Z74+AK74+AV74+BG74+BR74+19</f>
        <v>504</v>
      </c>
      <c r="E74" s="21">
        <f>P74+AA74+AL74+AW74+BH74+BS74+19</f>
        <v>364</v>
      </c>
      <c r="F74" s="22">
        <f>E74/D74</f>
        <v>0.72222222222222221</v>
      </c>
      <c r="G74" s="62">
        <f>R74+AC74+AN74+AY74+BJ74+BU74+19</f>
        <v>541</v>
      </c>
      <c r="H74" s="83">
        <f t="shared" ref="H74:H91" si="34">S74+AD74+AO74+AZ74+BK74+BV74</f>
        <v>541</v>
      </c>
      <c r="I74" s="60">
        <f>T74+AE74+AP74+BA74++BL74+BW74+19</f>
        <v>413</v>
      </c>
      <c r="J74" s="59">
        <f t="shared" si="21"/>
        <v>0.7634011090573013</v>
      </c>
      <c r="K74" s="182"/>
      <c r="L74" s="182"/>
      <c r="M74" s="49">
        <f>X74+AI74+AT74+BE74+BP74+CA74+19</f>
        <v>421</v>
      </c>
      <c r="N74" s="16">
        <f>M74/H74</f>
        <v>0.77818853974121993</v>
      </c>
      <c r="O74" s="38">
        <v>47</v>
      </c>
      <c r="P74" s="38">
        <v>47</v>
      </c>
      <c r="Q74" s="22">
        <f>P74/O74</f>
        <v>1</v>
      </c>
      <c r="R74" s="60">
        <v>75</v>
      </c>
      <c r="S74" s="87">
        <v>76</v>
      </c>
      <c r="T74" s="62">
        <v>65</v>
      </c>
      <c r="U74" s="61">
        <f t="shared" si="22"/>
        <v>0.8666666666666667</v>
      </c>
      <c r="V74" s="185"/>
      <c r="W74" s="185"/>
      <c r="X74" s="83">
        <v>66</v>
      </c>
      <c r="Y74" s="80">
        <f t="shared" si="23"/>
        <v>0.86842105263157898</v>
      </c>
      <c r="Z74" s="38">
        <v>18</v>
      </c>
      <c r="AA74" s="38">
        <v>18</v>
      </c>
      <c r="AB74" s="22">
        <f>AA74/Z74</f>
        <v>1</v>
      </c>
      <c r="AC74" s="60">
        <v>18</v>
      </c>
      <c r="AD74" s="87">
        <v>18</v>
      </c>
      <c r="AE74" s="62">
        <v>18</v>
      </c>
      <c r="AF74" s="61">
        <f t="shared" si="24"/>
        <v>1</v>
      </c>
      <c r="AG74" s="185"/>
      <c r="AH74" s="185"/>
      <c r="AI74" s="83">
        <v>18</v>
      </c>
      <c r="AJ74" s="80">
        <f t="shared" si="25"/>
        <v>1</v>
      </c>
      <c r="AK74" s="38">
        <v>211</v>
      </c>
      <c r="AL74" s="38">
        <v>141</v>
      </c>
      <c r="AM74" s="22">
        <f>AL74/AK74</f>
        <v>0.66824644549763035</v>
      </c>
      <c r="AN74" s="60">
        <v>211</v>
      </c>
      <c r="AO74" s="87">
        <v>216</v>
      </c>
      <c r="AP74" s="62">
        <v>149</v>
      </c>
      <c r="AQ74" s="61">
        <f t="shared" si="26"/>
        <v>0.70616113744075826</v>
      </c>
      <c r="AR74" s="185"/>
      <c r="AS74" s="185"/>
      <c r="AT74" s="83">
        <v>154</v>
      </c>
      <c r="AU74" s="80">
        <f t="shared" si="27"/>
        <v>0.71296296296296291</v>
      </c>
      <c r="AV74" s="38">
        <v>162</v>
      </c>
      <c r="AW74" s="38">
        <v>92</v>
      </c>
      <c r="AX74" s="22">
        <f>AW74/AV74</f>
        <v>0.5679012345679012</v>
      </c>
      <c r="AY74" s="60">
        <v>167</v>
      </c>
      <c r="AZ74" s="87">
        <v>167</v>
      </c>
      <c r="BA74" s="62">
        <v>102</v>
      </c>
      <c r="BB74" s="61">
        <f t="shared" si="28"/>
        <v>0.6107784431137725</v>
      </c>
      <c r="BC74" s="185"/>
      <c r="BD74" s="185"/>
      <c r="BE74" s="83">
        <v>103</v>
      </c>
      <c r="BF74" s="80">
        <f t="shared" si="29"/>
        <v>0.61676646706586824</v>
      </c>
      <c r="BG74" s="38">
        <v>0</v>
      </c>
      <c r="BH74" s="38">
        <v>0</v>
      </c>
      <c r="BI74" s="22">
        <v>0</v>
      </c>
      <c r="BJ74" s="60">
        <v>0</v>
      </c>
      <c r="BK74" s="87">
        <v>0</v>
      </c>
      <c r="BL74" s="62">
        <v>0</v>
      </c>
      <c r="BM74" s="61">
        <v>0</v>
      </c>
      <c r="BN74" s="185"/>
      <c r="BO74" s="185"/>
      <c r="BP74" s="83">
        <v>0</v>
      </c>
      <c r="BQ74" s="80">
        <v>0</v>
      </c>
      <c r="BR74" s="38">
        <v>47</v>
      </c>
      <c r="BS74" s="38">
        <v>47</v>
      </c>
      <c r="BT74" s="22">
        <f>BS74/BR74</f>
        <v>1</v>
      </c>
      <c r="BU74" s="60">
        <v>51</v>
      </c>
      <c r="BV74" s="87">
        <v>64</v>
      </c>
      <c r="BW74" s="62">
        <v>60</v>
      </c>
      <c r="BX74" s="61">
        <f t="shared" si="32"/>
        <v>1.1764705882352942</v>
      </c>
      <c r="BY74" s="185"/>
      <c r="BZ74" s="185"/>
      <c r="CA74" s="83">
        <v>61</v>
      </c>
      <c r="CB74" s="80">
        <f t="shared" si="33"/>
        <v>0.953125</v>
      </c>
      <c r="CC74" s="139" t="s">
        <v>205</v>
      </c>
      <c r="CD74" s="140"/>
    </row>
    <row r="75" spans="1:82" ht="89.25" customHeight="1">
      <c r="A75" s="15">
        <v>68</v>
      </c>
      <c r="B75" s="92" t="s">
        <v>74</v>
      </c>
      <c r="C75" s="14" t="s">
        <v>184</v>
      </c>
      <c r="D75" s="21">
        <v>201</v>
      </c>
      <c r="E75" s="21">
        <v>120</v>
      </c>
      <c r="F75" s="22">
        <v>0.59701492537313428</v>
      </c>
      <c r="G75" s="62">
        <f>R75+AC75+AN75+AY75+BJ75+BU75+44</f>
        <v>205</v>
      </c>
      <c r="H75" s="83">
        <f>S75+AD75+AO75+AZ75+BK75+BV75+44</f>
        <v>208</v>
      </c>
      <c r="I75" s="60">
        <f>T75+AE75+AP75+BA75++BL75+BW75+32</f>
        <v>139</v>
      </c>
      <c r="J75" s="59">
        <f t="shared" si="21"/>
        <v>0.67804878048780493</v>
      </c>
      <c r="K75" s="182"/>
      <c r="L75" s="182"/>
      <c r="M75" s="49">
        <f>X75+AI75+AT75+BE75+BP75+CA75+32</f>
        <v>150</v>
      </c>
      <c r="N75" s="16">
        <f>M75/H75</f>
        <v>0.72115384615384615</v>
      </c>
      <c r="O75" s="38">
        <v>36</v>
      </c>
      <c r="P75" s="38">
        <v>24</v>
      </c>
      <c r="Q75" s="22">
        <v>0.66666666666666663</v>
      </c>
      <c r="R75" s="60">
        <v>40</v>
      </c>
      <c r="S75" s="87">
        <v>41</v>
      </c>
      <c r="T75" s="62">
        <v>30</v>
      </c>
      <c r="U75" s="61">
        <f t="shared" si="22"/>
        <v>0.75</v>
      </c>
      <c r="V75" s="185"/>
      <c r="W75" s="185"/>
      <c r="X75" s="83">
        <v>33</v>
      </c>
      <c r="Y75" s="80">
        <f t="shared" si="23"/>
        <v>0.80487804878048785</v>
      </c>
      <c r="Z75" s="38">
        <v>58</v>
      </c>
      <c r="AA75" s="38">
        <v>27</v>
      </c>
      <c r="AB75" s="22">
        <v>0.46551724137931033</v>
      </c>
      <c r="AC75" s="60">
        <v>57</v>
      </c>
      <c r="AD75" s="87">
        <v>57</v>
      </c>
      <c r="AE75" s="62">
        <v>34</v>
      </c>
      <c r="AF75" s="61">
        <f t="shared" si="24"/>
        <v>0.59649122807017541</v>
      </c>
      <c r="AG75" s="185"/>
      <c r="AH75" s="185"/>
      <c r="AI75" s="83">
        <v>35</v>
      </c>
      <c r="AJ75" s="80">
        <f t="shared" si="25"/>
        <v>0.61403508771929827</v>
      </c>
      <c r="AK75" s="38">
        <v>15</v>
      </c>
      <c r="AL75" s="38">
        <v>9</v>
      </c>
      <c r="AM75" s="22">
        <v>0.6</v>
      </c>
      <c r="AN75" s="60">
        <v>15</v>
      </c>
      <c r="AO75" s="87">
        <v>15</v>
      </c>
      <c r="AP75" s="62">
        <v>10</v>
      </c>
      <c r="AQ75" s="61">
        <f t="shared" si="26"/>
        <v>0.66666666666666663</v>
      </c>
      <c r="AR75" s="185"/>
      <c r="AS75" s="185"/>
      <c r="AT75" s="83">
        <v>11</v>
      </c>
      <c r="AU75" s="80">
        <f t="shared" si="27"/>
        <v>0.73333333333333328</v>
      </c>
      <c r="AV75" s="38">
        <v>30</v>
      </c>
      <c r="AW75" s="38">
        <v>14</v>
      </c>
      <c r="AX75" s="22">
        <v>0.46666666666666667</v>
      </c>
      <c r="AY75" s="60">
        <v>31</v>
      </c>
      <c r="AZ75" s="87">
        <v>33</v>
      </c>
      <c r="BA75" s="62">
        <v>18</v>
      </c>
      <c r="BB75" s="61">
        <f t="shared" si="28"/>
        <v>0.58064516129032262</v>
      </c>
      <c r="BC75" s="185"/>
      <c r="BD75" s="185"/>
      <c r="BE75" s="83">
        <v>22</v>
      </c>
      <c r="BF75" s="80">
        <f t="shared" si="29"/>
        <v>0.66666666666666663</v>
      </c>
      <c r="BG75" s="38">
        <v>7</v>
      </c>
      <c r="BH75" s="38">
        <v>7</v>
      </c>
      <c r="BI75" s="22">
        <v>1</v>
      </c>
      <c r="BJ75" s="60">
        <v>7</v>
      </c>
      <c r="BK75" s="87">
        <v>7</v>
      </c>
      <c r="BL75" s="62">
        <v>7</v>
      </c>
      <c r="BM75" s="61">
        <f t="shared" si="30"/>
        <v>1</v>
      </c>
      <c r="BN75" s="185"/>
      <c r="BO75" s="185"/>
      <c r="BP75" s="83">
        <v>7</v>
      </c>
      <c r="BQ75" s="80">
        <f t="shared" si="31"/>
        <v>1</v>
      </c>
      <c r="BR75" s="38">
        <v>11</v>
      </c>
      <c r="BS75" s="38">
        <v>7</v>
      </c>
      <c r="BT75" s="22">
        <v>0.63636363636363635</v>
      </c>
      <c r="BU75" s="60">
        <v>11</v>
      </c>
      <c r="BV75" s="87">
        <v>11</v>
      </c>
      <c r="BW75" s="62">
        <v>8</v>
      </c>
      <c r="BX75" s="61">
        <f t="shared" si="32"/>
        <v>0.72727272727272729</v>
      </c>
      <c r="BY75" s="185"/>
      <c r="BZ75" s="185"/>
      <c r="CA75" s="83">
        <v>10</v>
      </c>
      <c r="CB75" s="80">
        <f t="shared" si="33"/>
        <v>0.90909090909090906</v>
      </c>
      <c r="CC75" s="115" t="s">
        <v>200</v>
      </c>
      <c r="CD75" s="116"/>
    </row>
    <row r="76" spans="1:82" ht="90">
      <c r="A76" s="15">
        <v>69</v>
      </c>
      <c r="B76" s="92" t="s">
        <v>75</v>
      </c>
      <c r="C76" s="14" t="s">
        <v>183</v>
      </c>
      <c r="D76" s="21">
        <f>O76+Z76+AK76+AV76+BG76+BR76+45+11</f>
        <v>271</v>
      </c>
      <c r="E76" s="21">
        <f>P76+AA76+AL76+AW76+BH76+BS76+11</f>
        <v>168</v>
      </c>
      <c r="F76" s="22">
        <f>E76/D76</f>
        <v>0.61992619926199266</v>
      </c>
      <c r="G76" s="62">
        <f>R76+AC76+AN76+AY76+BJ76+BU76+11+45</f>
        <v>271</v>
      </c>
      <c r="H76" s="83">
        <f>S76+AD76+AO76+AZ76+BK76+BV76+11+45</f>
        <v>271</v>
      </c>
      <c r="I76" s="60">
        <f>T76+AE76+AP76+BA76++BL76+BW76+8+15</f>
        <v>202</v>
      </c>
      <c r="J76" s="59">
        <f t="shared" si="21"/>
        <v>0.74538745387453875</v>
      </c>
      <c r="K76" s="182"/>
      <c r="L76" s="182"/>
      <c r="M76" s="49">
        <f>X76+AI76+AT76+BE76+BP76+CA76+8+15</f>
        <v>206</v>
      </c>
      <c r="N76" s="16">
        <f>M76/H76</f>
        <v>0.76014760147601479</v>
      </c>
      <c r="O76" s="33">
        <v>57</v>
      </c>
      <c r="P76" s="33">
        <v>40</v>
      </c>
      <c r="Q76" s="22">
        <f>P76/O76</f>
        <v>0.70175438596491224</v>
      </c>
      <c r="R76" s="60">
        <v>57</v>
      </c>
      <c r="S76" s="87">
        <v>57</v>
      </c>
      <c r="T76" s="62">
        <v>46</v>
      </c>
      <c r="U76" s="61">
        <f t="shared" si="22"/>
        <v>0.80701754385964908</v>
      </c>
      <c r="V76" s="185"/>
      <c r="W76" s="185"/>
      <c r="X76" s="83">
        <v>47</v>
      </c>
      <c r="Y76" s="80">
        <f t="shared" si="23"/>
        <v>0.82456140350877194</v>
      </c>
      <c r="Z76" s="33">
        <v>28</v>
      </c>
      <c r="AA76" s="33">
        <v>24</v>
      </c>
      <c r="AB76" s="22">
        <f>AA76/Z76</f>
        <v>0.8571428571428571</v>
      </c>
      <c r="AC76" s="60">
        <v>28</v>
      </c>
      <c r="AD76" s="87">
        <v>28</v>
      </c>
      <c r="AE76" s="62">
        <v>27</v>
      </c>
      <c r="AF76" s="61">
        <f t="shared" si="24"/>
        <v>0.9642857142857143</v>
      </c>
      <c r="AG76" s="185"/>
      <c r="AH76" s="185"/>
      <c r="AI76" s="83">
        <v>28</v>
      </c>
      <c r="AJ76" s="80">
        <f t="shared" si="25"/>
        <v>1</v>
      </c>
      <c r="AK76" s="33">
        <v>79</v>
      </c>
      <c r="AL76" s="33">
        <v>58</v>
      </c>
      <c r="AM76" s="22">
        <f>AL76/AK76</f>
        <v>0.73417721518987344</v>
      </c>
      <c r="AN76" s="60">
        <v>79</v>
      </c>
      <c r="AO76" s="87">
        <v>79</v>
      </c>
      <c r="AP76" s="62">
        <v>64</v>
      </c>
      <c r="AQ76" s="61">
        <f t="shared" si="26"/>
        <v>0.810126582278481</v>
      </c>
      <c r="AR76" s="185"/>
      <c r="AS76" s="185"/>
      <c r="AT76" s="83">
        <v>65</v>
      </c>
      <c r="AU76" s="80">
        <f t="shared" si="27"/>
        <v>0.82278481012658233</v>
      </c>
      <c r="AV76" s="33">
        <v>46</v>
      </c>
      <c r="AW76" s="33">
        <v>31</v>
      </c>
      <c r="AX76" s="22">
        <f>AW76/AV76</f>
        <v>0.67391304347826086</v>
      </c>
      <c r="AY76" s="60">
        <v>46</v>
      </c>
      <c r="AZ76" s="87">
        <v>46</v>
      </c>
      <c r="BA76" s="62">
        <v>38</v>
      </c>
      <c r="BB76" s="61">
        <f t="shared" si="28"/>
        <v>0.82608695652173914</v>
      </c>
      <c r="BC76" s="185"/>
      <c r="BD76" s="185"/>
      <c r="BE76" s="83">
        <v>39</v>
      </c>
      <c r="BF76" s="80">
        <f t="shared" si="29"/>
        <v>0.84782608695652173</v>
      </c>
      <c r="BG76" s="33">
        <v>1</v>
      </c>
      <c r="BH76" s="33">
        <v>1</v>
      </c>
      <c r="BI76" s="22">
        <f>BH76/BG76</f>
        <v>1</v>
      </c>
      <c r="BJ76" s="60">
        <v>1</v>
      </c>
      <c r="BK76" s="87">
        <v>1</v>
      </c>
      <c r="BL76" s="62">
        <v>1</v>
      </c>
      <c r="BM76" s="61">
        <f t="shared" si="30"/>
        <v>1</v>
      </c>
      <c r="BN76" s="185"/>
      <c r="BO76" s="185"/>
      <c r="BP76" s="83">
        <v>1</v>
      </c>
      <c r="BQ76" s="80">
        <f t="shared" si="31"/>
        <v>1</v>
      </c>
      <c r="BR76" s="33">
        <v>4</v>
      </c>
      <c r="BS76" s="33">
        <v>3</v>
      </c>
      <c r="BT76" s="22">
        <f>BS76/BR76</f>
        <v>0.75</v>
      </c>
      <c r="BU76" s="60">
        <v>4</v>
      </c>
      <c r="BV76" s="87">
        <v>4</v>
      </c>
      <c r="BW76" s="62">
        <v>3</v>
      </c>
      <c r="BX76" s="61">
        <f t="shared" si="32"/>
        <v>0.75</v>
      </c>
      <c r="BY76" s="185"/>
      <c r="BZ76" s="185"/>
      <c r="CA76" s="83">
        <v>3</v>
      </c>
      <c r="CB76" s="80">
        <f t="shared" si="33"/>
        <v>0.75</v>
      </c>
      <c r="CC76" s="120"/>
      <c r="CD76" s="121"/>
    </row>
    <row r="77" spans="1:82" ht="40.5" customHeight="1">
      <c r="A77" s="15">
        <v>70</v>
      </c>
      <c r="B77" s="92" t="s">
        <v>76</v>
      </c>
      <c r="C77" s="14" t="s">
        <v>186</v>
      </c>
      <c r="D77" s="21">
        <f>O77+Z77+AK77+AV77+BG77+BR77+103</f>
        <v>260</v>
      </c>
      <c r="E77" s="21">
        <f>P77+AA77+AL77+AW77+BH77+BS77+57</f>
        <v>145</v>
      </c>
      <c r="F77" s="22">
        <f>E77/D77</f>
        <v>0.55769230769230771</v>
      </c>
      <c r="G77" s="62">
        <f>R77+AC77+AN77+AY77+BJ77+BU77+103</f>
        <v>260</v>
      </c>
      <c r="H77" s="83">
        <f>S77+AD77+AO77+AZ77+BK77+BV77+103</f>
        <v>260</v>
      </c>
      <c r="I77" s="60">
        <f>T77+AE77+AP77+BA77++BL77+BW77+57</f>
        <v>172</v>
      </c>
      <c r="J77" s="59">
        <f t="shared" si="21"/>
        <v>0.66153846153846152</v>
      </c>
      <c r="K77" s="182"/>
      <c r="L77" s="182"/>
      <c r="M77" s="49">
        <f>X77+AI77+AT77+BE77+BP77+CA77+57</f>
        <v>187</v>
      </c>
      <c r="N77" s="16">
        <f>M77/H77</f>
        <v>0.71923076923076923</v>
      </c>
      <c r="O77" s="37">
        <v>40</v>
      </c>
      <c r="P77" s="37">
        <v>27</v>
      </c>
      <c r="Q77" s="22">
        <f>P77/O77</f>
        <v>0.67500000000000004</v>
      </c>
      <c r="R77" s="60">
        <v>40</v>
      </c>
      <c r="S77" s="87">
        <v>40</v>
      </c>
      <c r="T77" s="62">
        <v>33</v>
      </c>
      <c r="U77" s="61">
        <f t="shared" si="22"/>
        <v>0.82499999999999996</v>
      </c>
      <c r="V77" s="185"/>
      <c r="W77" s="185"/>
      <c r="X77" s="83">
        <v>34</v>
      </c>
      <c r="Y77" s="80">
        <f t="shared" si="23"/>
        <v>0.85</v>
      </c>
      <c r="Z77" s="37">
        <v>0</v>
      </c>
      <c r="AA77" s="37">
        <v>0</v>
      </c>
      <c r="AB77" s="22">
        <v>0</v>
      </c>
      <c r="AC77" s="60">
        <v>0</v>
      </c>
      <c r="AD77" s="87">
        <v>0</v>
      </c>
      <c r="AE77" s="62">
        <v>0</v>
      </c>
      <c r="AF77" s="61">
        <v>0</v>
      </c>
      <c r="AG77" s="185"/>
      <c r="AH77" s="185"/>
      <c r="AI77" s="83">
        <v>0</v>
      </c>
      <c r="AJ77" s="80">
        <v>0</v>
      </c>
      <c r="AK77" s="37">
        <v>56</v>
      </c>
      <c r="AL77" s="37">
        <v>30</v>
      </c>
      <c r="AM77" s="22">
        <f>AL77/AK77</f>
        <v>0.5357142857142857</v>
      </c>
      <c r="AN77" s="60">
        <v>56</v>
      </c>
      <c r="AO77" s="87">
        <v>56</v>
      </c>
      <c r="AP77" s="62">
        <v>37</v>
      </c>
      <c r="AQ77" s="61">
        <f t="shared" si="26"/>
        <v>0.6607142857142857</v>
      </c>
      <c r="AR77" s="185"/>
      <c r="AS77" s="185"/>
      <c r="AT77" s="83">
        <v>42</v>
      </c>
      <c r="AU77" s="80">
        <f t="shared" si="27"/>
        <v>0.75</v>
      </c>
      <c r="AV77" s="37">
        <v>33</v>
      </c>
      <c r="AW77" s="37">
        <v>13</v>
      </c>
      <c r="AX77" s="22">
        <f>AW77/AV77</f>
        <v>0.39393939393939392</v>
      </c>
      <c r="AY77" s="60">
        <v>33</v>
      </c>
      <c r="AZ77" s="87">
        <v>33</v>
      </c>
      <c r="BA77" s="62">
        <v>24</v>
      </c>
      <c r="BB77" s="61">
        <f t="shared" si="28"/>
        <v>0.72727272727272729</v>
      </c>
      <c r="BC77" s="185"/>
      <c r="BD77" s="185"/>
      <c r="BE77" s="83">
        <v>30</v>
      </c>
      <c r="BF77" s="80">
        <f t="shared" si="29"/>
        <v>0.90909090909090906</v>
      </c>
      <c r="BG77" s="37">
        <v>6</v>
      </c>
      <c r="BH77" s="37">
        <v>4</v>
      </c>
      <c r="BI77" s="22">
        <f>BH77/BG77</f>
        <v>0.66666666666666663</v>
      </c>
      <c r="BJ77" s="60">
        <v>6</v>
      </c>
      <c r="BK77" s="87">
        <v>6</v>
      </c>
      <c r="BL77" s="62">
        <v>4</v>
      </c>
      <c r="BM77" s="61">
        <f t="shared" si="30"/>
        <v>0.66666666666666663</v>
      </c>
      <c r="BN77" s="185"/>
      <c r="BO77" s="185"/>
      <c r="BP77" s="83">
        <v>6</v>
      </c>
      <c r="BQ77" s="80">
        <f t="shared" si="31"/>
        <v>1</v>
      </c>
      <c r="BR77" s="37">
        <v>22</v>
      </c>
      <c r="BS77" s="37">
        <v>14</v>
      </c>
      <c r="BT77" s="22">
        <f>BS77/BR77</f>
        <v>0.63636363636363635</v>
      </c>
      <c r="BU77" s="60">
        <v>22</v>
      </c>
      <c r="BV77" s="87">
        <v>22</v>
      </c>
      <c r="BW77" s="62">
        <v>17</v>
      </c>
      <c r="BX77" s="61">
        <f t="shared" si="32"/>
        <v>0.77272727272727271</v>
      </c>
      <c r="BY77" s="185"/>
      <c r="BZ77" s="185"/>
      <c r="CA77" s="83">
        <v>18</v>
      </c>
      <c r="CB77" s="80">
        <f t="shared" si="33"/>
        <v>0.81818181818181823</v>
      </c>
      <c r="CC77" s="120"/>
      <c r="CD77" s="121"/>
    </row>
    <row r="78" spans="1:82" ht="122.25" customHeight="1">
      <c r="A78" s="15">
        <v>71</v>
      </c>
      <c r="B78" s="92" t="s">
        <v>77</v>
      </c>
      <c r="C78" s="14" t="s">
        <v>201</v>
      </c>
      <c r="D78" s="21">
        <f>O78+Z78+AK78+AV78+BG78+BR78+21</f>
        <v>200</v>
      </c>
      <c r="E78" s="21">
        <f>P78+AA78+AL78+AW78+BH78+BS78+11</f>
        <v>164</v>
      </c>
      <c r="F78" s="22">
        <f>E78/D78</f>
        <v>0.82</v>
      </c>
      <c r="G78" s="62">
        <f>R78+AC78+AN78+AY78+BJ78+BU78+21</f>
        <v>200</v>
      </c>
      <c r="H78" s="83">
        <f>S78+AD78+AO78+AZ78+BK78+BV78+21</f>
        <v>202</v>
      </c>
      <c r="I78" s="60">
        <f>T78+AE78+AP78+BA78++BL78+BW78+11</f>
        <v>175</v>
      </c>
      <c r="J78" s="59">
        <f t="shared" si="21"/>
        <v>0.875</v>
      </c>
      <c r="K78" s="182"/>
      <c r="L78" s="182"/>
      <c r="M78" s="49">
        <f>X78+AI78+AT78+BE78+BP78+CA78+11</f>
        <v>181</v>
      </c>
      <c r="N78" s="16">
        <f>M78/H78</f>
        <v>0.89603960396039606</v>
      </c>
      <c r="O78" s="21">
        <v>65</v>
      </c>
      <c r="P78" s="21">
        <v>48</v>
      </c>
      <c r="Q78" s="22">
        <f>P78/O78</f>
        <v>0.7384615384615385</v>
      </c>
      <c r="R78" s="60">
        <v>65</v>
      </c>
      <c r="S78" s="87">
        <v>65</v>
      </c>
      <c r="T78" s="62">
        <v>55</v>
      </c>
      <c r="U78" s="61">
        <f t="shared" si="22"/>
        <v>0.84615384615384615</v>
      </c>
      <c r="V78" s="185"/>
      <c r="W78" s="185"/>
      <c r="X78" s="83">
        <v>58</v>
      </c>
      <c r="Y78" s="80">
        <f t="shared" si="23"/>
        <v>0.89230769230769236</v>
      </c>
      <c r="Z78" s="21">
        <v>33</v>
      </c>
      <c r="AA78" s="21">
        <v>33</v>
      </c>
      <c r="AB78" s="22">
        <f>AA78/Z78</f>
        <v>1</v>
      </c>
      <c r="AC78" s="60">
        <v>33</v>
      </c>
      <c r="AD78" s="87">
        <v>33</v>
      </c>
      <c r="AE78" s="62">
        <v>33</v>
      </c>
      <c r="AF78" s="61">
        <f t="shared" si="24"/>
        <v>1</v>
      </c>
      <c r="AG78" s="185"/>
      <c r="AH78" s="185"/>
      <c r="AI78" s="83">
        <v>33</v>
      </c>
      <c r="AJ78" s="80">
        <f t="shared" si="25"/>
        <v>1</v>
      </c>
      <c r="AK78" s="21">
        <v>22</v>
      </c>
      <c r="AL78" s="21">
        <v>16</v>
      </c>
      <c r="AM78" s="22">
        <f>AL78/AK78</f>
        <v>0.72727272727272729</v>
      </c>
      <c r="AN78" s="60">
        <v>22</v>
      </c>
      <c r="AO78" s="87">
        <v>22</v>
      </c>
      <c r="AP78" s="62">
        <v>17</v>
      </c>
      <c r="AQ78" s="61">
        <f t="shared" si="26"/>
        <v>0.77272727272727271</v>
      </c>
      <c r="AR78" s="185"/>
      <c r="AS78" s="185"/>
      <c r="AT78" s="83">
        <v>18</v>
      </c>
      <c r="AU78" s="80">
        <f t="shared" si="27"/>
        <v>0.81818181818181823</v>
      </c>
      <c r="AV78" s="21">
        <v>41</v>
      </c>
      <c r="AW78" s="21">
        <v>39</v>
      </c>
      <c r="AX78" s="22">
        <f>AW78/AV78</f>
        <v>0.95121951219512191</v>
      </c>
      <c r="AY78" s="60">
        <v>41</v>
      </c>
      <c r="AZ78" s="87">
        <v>42</v>
      </c>
      <c r="BA78" s="62">
        <v>41</v>
      </c>
      <c r="BB78" s="61">
        <f t="shared" si="28"/>
        <v>1</v>
      </c>
      <c r="BC78" s="185"/>
      <c r="BD78" s="185"/>
      <c r="BE78" s="83">
        <v>42</v>
      </c>
      <c r="BF78" s="80">
        <f t="shared" si="29"/>
        <v>1</v>
      </c>
      <c r="BG78" s="21">
        <v>0</v>
      </c>
      <c r="BH78" s="21">
        <v>0</v>
      </c>
      <c r="BI78" s="22">
        <v>0</v>
      </c>
      <c r="BJ78" s="60">
        <v>0</v>
      </c>
      <c r="BK78" s="87">
        <v>0</v>
      </c>
      <c r="BL78" s="62">
        <v>0</v>
      </c>
      <c r="BM78" s="61">
        <v>0</v>
      </c>
      <c r="BN78" s="185"/>
      <c r="BO78" s="185"/>
      <c r="BP78" s="83">
        <v>0</v>
      </c>
      <c r="BQ78" s="80">
        <v>0</v>
      </c>
      <c r="BR78" s="21">
        <v>18</v>
      </c>
      <c r="BS78" s="21">
        <v>17</v>
      </c>
      <c r="BT78" s="22">
        <f>BS78/BR78</f>
        <v>0.94444444444444442</v>
      </c>
      <c r="BU78" s="60">
        <v>18</v>
      </c>
      <c r="BV78" s="87">
        <v>19</v>
      </c>
      <c r="BW78" s="62">
        <v>18</v>
      </c>
      <c r="BX78" s="61">
        <f t="shared" si="32"/>
        <v>1</v>
      </c>
      <c r="BY78" s="185"/>
      <c r="BZ78" s="185"/>
      <c r="CA78" s="83">
        <v>19</v>
      </c>
      <c r="CB78" s="80">
        <f t="shared" si="33"/>
        <v>1</v>
      </c>
      <c r="CC78" s="115" t="s">
        <v>202</v>
      </c>
      <c r="CD78" s="116"/>
    </row>
    <row r="79" spans="1:82" ht="30">
      <c r="A79" s="15">
        <v>72</v>
      </c>
      <c r="B79" s="92" t="s">
        <v>78</v>
      </c>
      <c r="C79" s="14" t="s">
        <v>181</v>
      </c>
      <c r="D79" s="21">
        <f>O79+Z79+AK79+AV79+BG79+BR79+4</f>
        <v>85</v>
      </c>
      <c r="E79" s="21">
        <f>P79+AA79+AL79+AW79+BH79+BS79+4</f>
        <v>49</v>
      </c>
      <c r="F79" s="22">
        <f>E79/D79</f>
        <v>0.57647058823529407</v>
      </c>
      <c r="G79" s="62">
        <f>R79+AC79+AN79+AY79+BJ79+BU79+4</f>
        <v>85</v>
      </c>
      <c r="H79" s="83">
        <f>S79+AD79+AO79+AZ79+BK79+BV79+4</f>
        <v>85</v>
      </c>
      <c r="I79" s="60">
        <f>T79+AE79+AP79+BA79++BL79+BW79+4</f>
        <v>56</v>
      </c>
      <c r="J79" s="59">
        <f t="shared" si="21"/>
        <v>0.6588235294117647</v>
      </c>
      <c r="K79" s="182"/>
      <c r="L79" s="182"/>
      <c r="M79" s="49">
        <f>X79+AI79+AT79+BE79+BP79+CA79+4</f>
        <v>60</v>
      </c>
      <c r="N79" s="16">
        <f>M79/H79</f>
        <v>0.70588235294117652</v>
      </c>
      <c r="O79" s="21">
        <v>19</v>
      </c>
      <c r="P79" s="21">
        <v>12</v>
      </c>
      <c r="Q79" s="22">
        <f>P79/O79</f>
        <v>0.63157894736842102</v>
      </c>
      <c r="R79" s="60">
        <v>19</v>
      </c>
      <c r="S79" s="87">
        <v>19</v>
      </c>
      <c r="T79" s="62">
        <v>14</v>
      </c>
      <c r="U79" s="61">
        <f t="shared" si="22"/>
        <v>0.73684210526315785</v>
      </c>
      <c r="V79" s="185"/>
      <c r="W79" s="185"/>
      <c r="X79" s="83">
        <v>15</v>
      </c>
      <c r="Y79" s="80">
        <f t="shared" si="23"/>
        <v>0.78947368421052633</v>
      </c>
      <c r="Z79" s="21">
        <v>18</v>
      </c>
      <c r="AA79" s="21">
        <v>7</v>
      </c>
      <c r="AB79" s="22">
        <f>AA79/Z79</f>
        <v>0.3888888888888889</v>
      </c>
      <c r="AC79" s="60">
        <v>18</v>
      </c>
      <c r="AD79" s="87">
        <v>18</v>
      </c>
      <c r="AE79" s="62">
        <v>9</v>
      </c>
      <c r="AF79" s="61">
        <f t="shared" si="24"/>
        <v>0.5</v>
      </c>
      <c r="AG79" s="185"/>
      <c r="AH79" s="185"/>
      <c r="AI79" s="83">
        <v>10</v>
      </c>
      <c r="AJ79" s="80">
        <f t="shared" si="25"/>
        <v>0.55555555555555558</v>
      </c>
      <c r="AK79" s="21">
        <v>23</v>
      </c>
      <c r="AL79" s="21">
        <v>13</v>
      </c>
      <c r="AM79" s="22">
        <f>AL79/AK79</f>
        <v>0.56521739130434778</v>
      </c>
      <c r="AN79" s="60">
        <v>23</v>
      </c>
      <c r="AO79" s="87">
        <v>23</v>
      </c>
      <c r="AP79" s="62">
        <v>15</v>
      </c>
      <c r="AQ79" s="61">
        <f t="shared" si="26"/>
        <v>0.65217391304347827</v>
      </c>
      <c r="AR79" s="185"/>
      <c r="AS79" s="185"/>
      <c r="AT79" s="83">
        <v>16</v>
      </c>
      <c r="AU79" s="80">
        <f t="shared" si="27"/>
        <v>0.69565217391304346</v>
      </c>
      <c r="AV79" s="21">
        <v>16</v>
      </c>
      <c r="AW79" s="21">
        <v>10</v>
      </c>
      <c r="AX79" s="22">
        <f>AW79/AV79</f>
        <v>0.625</v>
      </c>
      <c r="AY79" s="60">
        <v>16</v>
      </c>
      <c r="AZ79" s="87">
        <v>16</v>
      </c>
      <c r="BA79" s="62">
        <v>10</v>
      </c>
      <c r="BB79" s="61">
        <f t="shared" si="28"/>
        <v>0.625</v>
      </c>
      <c r="BC79" s="185"/>
      <c r="BD79" s="185"/>
      <c r="BE79" s="83">
        <v>11</v>
      </c>
      <c r="BF79" s="80">
        <f t="shared" si="29"/>
        <v>0.6875</v>
      </c>
      <c r="BG79" s="21">
        <v>2</v>
      </c>
      <c r="BH79" s="21">
        <v>2</v>
      </c>
      <c r="BI79" s="22">
        <f>BH79/BG79</f>
        <v>1</v>
      </c>
      <c r="BJ79" s="60">
        <v>2</v>
      </c>
      <c r="BK79" s="87">
        <v>2</v>
      </c>
      <c r="BL79" s="62">
        <v>2</v>
      </c>
      <c r="BM79" s="61">
        <f t="shared" si="30"/>
        <v>1</v>
      </c>
      <c r="BN79" s="185"/>
      <c r="BO79" s="185"/>
      <c r="BP79" s="83">
        <v>2</v>
      </c>
      <c r="BQ79" s="80">
        <f t="shared" si="31"/>
        <v>1</v>
      </c>
      <c r="BR79" s="21">
        <v>3</v>
      </c>
      <c r="BS79" s="21">
        <v>1</v>
      </c>
      <c r="BT79" s="22">
        <f>BS79/BR79</f>
        <v>0.33333333333333331</v>
      </c>
      <c r="BU79" s="60">
        <v>3</v>
      </c>
      <c r="BV79" s="87">
        <v>3</v>
      </c>
      <c r="BW79" s="62">
        <v>2</v>
      </c>
      <c r="BX79" s="61">
        <f t="shared" si="32"/>
        <v>0.66666666666666663</v>
      </c>
      <c r="BY79" s="185"/>
      <c r="BZ79" s="185"/>
      <c r="CA79" s="83">
        <v>2</v>
      </c>
      <c r="CB79" s="80">
        <f t="shared" si="33"/>
        <v>0.66666666666666663</v>
      </c>
      <c r="CC79" s="120"/>
      <c r="CD79" s="121"/>
    </row>
    <row r="80" spans="1:82" ht="60">
      <c r="A80" s="15">
        <v>73</v>
      </c>
      <c r="B80" s="92" t="s">
        <v>79</v>
      </c>
      <c r="C80" s="14" t="s">
        <v>175</v>
      </c>
      <c r="D80" s="21">
        <v>141</v>
      </c>
      <c r="E80" s="21">
        <v>84</v>
      </c>
      <c r="F80" s="22">
        <v>0.5957446808510638</v>
      </c>
      <c r="G80" s="62">
        <f>R80+AC80+AN80+AY80+BJ80+BU80+10+1</f>
        <v>141</v>
      </c>
      <c r="H80" s="83">
        <f>S80+AD80+AO80+AZ80+BK80+BV80+10+1</f>
        <v>141</v>
      </c>
      <c r="I80" s="60">
        <f>T80+AE80+AP80+BA80++BL80+BW80+10+1</f>
        <v>105</v>
      </c>
      <c r="J80" s="59">
        <f t="shared" si="21"/>
        <v>0.74468085106382975</v>
      </c>
      <c r="K80" s="182"/>
      <c r="L80" s="182"/>
      <c r="M80" s="49">
        <f>X80+AI80+AT80+BE80+BP80+CA80+10+1</f>
        <v>124</v>
      </c>
      <c r="N80" s="16">
        <f>M80/H80</f>
        <v>0.87943262411347523</v>
      </c>
      <c r="O80" s="32">
        <v>40</v>
      </c>
      <c r="P80" s="32">
        <v>22</v>
      </c>
      <c r="Q80" s="22">
        <v>0.55000000000000004</v>
      </c>
      <c r="R80" s="60">
        <v>46</v>
      </c>
      <c r="S80" s="87">
        <v>46</v>
      </c>
      <c r="T80" s="62">
        <v>31</v>
      </c>
      <c r="U80" s="61">
        <f t="shared" si="22"/>
        <v>0.67391304347826086</v>
      </c>
      <c r="V80" s="185"/>
      <c r="W80" s="185"/>
      <c r="X80" s="83">
        <v>41</v>
      </c>
      <c r="Y80" s="80">
        <f t="shared" si="23"/>
        <v>0.89130434782608692</v>
      </c>
      <c r="Z80" s="32">
        <v>21</v>
      </c>
      <c r="AA80" s="32">
        <v>5</v>
      </c>
      <c r="AB80" s="22">
        <v>0.23809523809523808</v>
      </c>
      <c r="AC80" s="60">
        <v>15</v>
      </c>
      <c r="AD80" s="87">
        <v>15</v>
      </c>
      <c r="AE80" s="62">
        <v>9</v>
      </c>
      <c r="AF80" s="61">
        <f t="shared" si="24"/>
        <v>0.6</v>
      </c>
      <c r="AG80" s="185"/>
      <c r="AH80" s="185"/>
      <c r="AI80" s="83">
        <v>12</v>
      </c>
      <c r="AJ80" s="80">
        <f t="shared" si="25"/>
        <v>0.8</v>
      </c>
      <c r="AK80" s="32">
        <v>49</v>
      </c>
      <c r="AL80" s="32">
        <v>31</v>
      </c>
      <c r="AM80" s="22">
        <v>0.63265306122448983</v>
      </c>
      <c r="AN80" s="60">
        <v>49</v>
      </c>
      <c r="AO80" s="87">
        <v>49</v>
      </c>
      <c r="AP80" s="62">
        <v>37</v>
      </c>
      <c r="AQ80" s="61">
        <f t="shared" si="26"/>
        <v>0.75510204081632648</v>
      </c>
      <c r="AR80" s="185"/>
      <c r="AS80" s="185"/>
      <c r="AT80" s="83">
        <v>43</v>
      </c>
      <c r="AU80" s="80">
        <f t="shared" si="27"/>
        <v>0.87755102040816324</v>
      </c>
      <c r="AV80" s="32">
        <v>17</v>
      </c>
      <c r="AW80" s="32">
        <v>13</v>
      </c>
      <c r="AX80" s="22">
        <v>0.76470588235294112</v>
      </c>
      <c r="AY80" s="60">
        <v>17</v>
      </c>
      <c r="AZ80" s="87">
        <v>17</v>
      </c>
      <c r="BA80" s="62">
        <v>14</v>
      </c>
      <c r="BB80" s="61">
        <f t="shared" si="28"/>
        <v>0.82352941176470584</v>
      </c>
      <c r="BC80" s="185"/>
      <c r="BD80" s="185"/>
      <c r="BE80" s="83">
        <v>14</v>
      </c>
      <c r="BF80" s="80">
        <f t="shared" si="29"/>
        <v>0.82352941176470584</v>
      </c>
      <c r="BG80" s="32">
        <v>0</v>
      </c>
      <c r="BH80" s="32">
        <v>0</v>
      </c>
      <c r="BI80" s="22">
        <v>0</v>
      </c>
      <c r="BJ80" s="60">
        <v>0</v>
      </c>
      <c r="BK80" s="87">
        <v>0</v>
      </c>
      <c r="BL80" s="62">
        <v>0</v>
      </c>
      <c r="BM80" s="61">
        <v>0</v>
      </c>
      <c r="BN80" s="185"/>
      <c r="BO80" s="185"/>
      <c r="BP80" s="83">
        <v>0</v>
      </c>
      <c r="BQ80" s="80">
        <v>0</v>
      </c>
      <c r="BR80" s="32">
        <v>3</v>
      </c>
      <c r="BS80" s="32">
        <v>2</v>
      </c>
      <c r="BT80" s="22">
        <v>0.66666666666666663</v>
      </c>
      <c r="BU80" s="60">
        <v>3</v>
      </c>
      <c r="BV80" s="87">
        <v>3</v>
      </c>
      <c r="BW80" s="62">
        <v>3</v>
      </c>
      <c r="BX80" s="61">
        <f t="shared" si="32"/>
        <v>1</v>
      </c>
      <c r="BY80" s="185"/>
      <c r="BZ80" s="185"/>
      <c r="CA80" s="83">
        <v>3</v>
      </c>
      <c r="CB80" s="80">
        <f t="shared" si="33"/>
        <v>1</v>
      </c>
      <c r="CC80" s="117" t="s">
        <v>176</v>
      </c>
      <c r="CD80" s="118"/>
    </row>
    <row r="81" spans="1:82" ht="105">
      <c r="A81" s="15">
        <v>74</v>
      </c>
      <c r="B81" s="92" t="s">
        <v>80</v>
      </c>
      <c r="C81" s="14" t="s">
        <v>145</v>
      </c>
      <c r="D81" s="21">
        <v>1012</v>
      </c>
      <c r="E81" s="21">
        <v>640</v>
      </c>
      <c r="F81" s="22">
        <f>E81/D81</f>
        <v>0.6324110671936759</v>
      </c>
      <c r="G81" s="62">
        <f>R81+AC81+AN81+AY81+BJ81+BU81+112+333</f>
        <v>1012</v>
      </c>
      <c r="H81" s="83">
        <f>S81+AD81+AO81+AZ81+BK81+BV81+112+333</f>
        <v>1012</v>
      </c>
      <c r="I81" s="60">
        <f>T81+AE81+AP81+BA81++BL81+BW81+81+120</f>
        <v>658</v>
      </c>
      <c r="J81" s="59">
        <f>I81/G81</f>
        <v>0.65019762845849804</v>
      </c>
      <c r="K81" s="182"/>
      <c r="L81" s="182"/>
      <c r="M81" s="49">
        <f>X81+AI81+AT81+BE81+BP81+CA81+82+115</f>
        <v>679</v>
      </c>
      <c r="N81" s="16">
        <f>M81/H81</f>
        <v>0.67094861660079053</v>
      </c>
      <c r="O81" s="21">
        <v>123</v>
      </c>
      <c r="P81" s="21">
        <v>120</v>
      </c>
      <c r="Q81" s="22">
        <f>P81/O81</f>
        <v>0.97560975609756095</v>
      </c>
      <c r="R81" s="60">
        <v>123</v>
      </c>
      <c r="S81" s="87">
        <v>123</v>
      </c>
      <c r="T81" s="62">
        <v>122</v>
      </c>
      <c r="U81" s="61">
        <f t="shared" si="22"/>
        <v>0.99186991869918695</v>
      </c>
      <c r="V81" s="185"/>
      <c r="W81" s="185"/>
      <c r="X81" s="83">
        <v>123</v>
      </c>
      <c r="Y81" s="80">
        <f t="shared" si="23"/>
        <v>1</v>
      </c>
      <c r="Z81" s="21">
        <v>23</v>
      </c>
      <c r="AA81" s="21">
        <v>17</v>
      </c>
      <c r="AB81" s="22">
        <f>AA81/Z81</f>
        <v>0.73913043478260865</v>
      </c>
      <c r="AC81" s="60">
        <v>23</v>
      </c>
      <c r="AD81" s="87">
        <v>23</v>
      </c>
      <c r="AE81" s="62">
        <v>18</v>
      </c>
      <c r="AF81" s="61">
        <f t="shared" si="24"/>
        <v>0.78260869565217395</v>
      </c>
      <c r="AG81" s="185"/>
      <c r="AH81" s="185"/>
      <c r="AI81" s="83">
        <v>20</v>
      </c>
      <c r="AJ81" s="80">
        <f t="shared" si="25"/>
        <v>0.86956521739130432</v>
      </c>
      <c r="AK81" s="21">
        <v>187</v>
      </c>
      <c r="AL81" s="21">
        <v>127</v>
      </c>
      <c r="AM81" s="22">
        <f>AL81/AK81</f>
        <v>0.67914438502673802</v>
      </c>
      <c r="AN81" s="60">
        <v>187</v>
      </c>
      <c r="AO81" s="87">
        <v>187</v>
      </c>
      <c r="AP81" s="62">
        <v>133</v>
      </c>
      <c r="AQ81" s="61">
        <f t="shared" si="26"/>
        <v>0.71122994652406413</v>
      </c>
      <c r="AR81" s="185"/>
      <c r="AS81" s="185"/>
      <c r="AT81" s="83">
        <v>140</v>
      </c>
      <c r="AU81" s="80">
        <f t="shared" si="27"/>
        <v>0.74866310160427807</v>
      </c>
      <c r="AV81" s="21">
        <v>120</v>
      </c>
      <c r="AW81" s="21">
        <v>69</v>
      </c>
      <c r="AX81" s="22">
        <f>AW81/AV81</f>
        <v>0.57499999999999996</v>
      </c>
      <c r="AY81" s="60">
        <v>120</v>
      </c>
      <c r="AZ81" s="87">
        <v>120</v>
      </c>
      <c r="BA81" s="62">
        <v>91</v>
      </c>
      <c r="BB81" s="61">
        <f t="shared" si="28"/>
        <v>0.7583333333333333</v>
      </c>
      <c r="BC81" s="185"/>
      <c r="BD81" s="185"/>
      <c r="BE81" s="83">
        <v>103</v>
      </c>
      <c r="BF81" s="80">
        <f t="shared" si="29"/>
        <v>0.85833333333333328</v>
      </c>
      <c r="BG81" s="21">
        <v>24</v>
      </c>
      <c r="BH81" s="21">
        <v>24</v>
      </c>
      <c r="BI81" s="22">
        <v>1</v>
      </c>
      <c r="BJ81" s="60">
        <v>24</v>
      </c>
      <c r="BK81" s="87">
        <v>24</v>
      </c>
      <c r="BL81" s="62">
        <v>24</v>
      </c>
      <c r="BM81" s="61">
        <f t="shared" si="30"/>
        <v>1</v>
      </c>
      <c r="BN81" s="185"/>
      <c r="BO81" s="185"/>
      <c r="BP81" s="83">
        <v>24</v>
      </c>
      <c r="BQ81" s="80">
        <f t="shared" si="31"/>
        <v>1</v>
      </c>
      <c r="BR81" s="21">
        <v>90</v>
      </c>
      <c r="BS81" s="21">
        <v>66</v>
      </c>
      <c r="BT81" s="22">
        <v>0.73333333333333328</v>
      </c>
      <c r="BU81" s="60">
        <v>90</v>
      </c>
      <c r="BV81" s="87">
        <v>90</v>
      </c>
      <c r="BW81" s="62">
        <v>69</v>
      </c>
      <c r="BX81" s="61">
        <f t="shared" si="32"/>
        <v>0.76666666666666672</v>
      </c>
      <c r="BY81" s="185"/>
      <c r="BZ81" s="185"/>
      <c r="CA81" s="83">
        <v>72</v>
      </c>
      <c r="CB81" s="80">
        <f t="shared" si="33"/>
        <v>0.8</v>
      </c>
      <c r="CC81" s="115" t="s">
        <v>146</v>
      </c>
      <c r="CD81" s="116"/>
    </row>
    <row r="82" spans="1:82" ht="50.25" customHeight="1">
      <c r="A82" s="15">
        <v>75</v>
      </c>
      <c r="B82" s="92" t="s">
        <v>81</v>
      </c>
      <c r="C82" s="14" t="s">
        <v>170</v>
      </c>
      <c r="D82" s="21">
        <v>246</v>
      </c>
      <c r="E82" s="21">
        <v>193</v>
      </c>
      <c r="F82" s="22">
        <v>0.78455284552845528</v>
      </c>
      <c r="G82" s="62">
        <f>R82+AC82+AN82+AY82+BJ82+BU82+16</f>
        <v>262</v>
      </c>
      <c r="H82" s="83">
        <f>S82+AD82+AO82+AZ82+BK82+BV82+16</f>
        <v>262</v>
      </c>
      <c r="I82" s="60">
        <f>T82+AE82+AP82+BA82++BL82+BW82+16</f>
        <v>229</v>
      </c>
      <c r="J82" s="59">
        <f t="shared" si="21"/>
        <v>0.87404580152671751</v>
      </c>
      <c r="K82" s="182"/>
      <c r="L82" s="182"/>
      <c r="M82" s="49">
        <f>X82+AI82+AT82+BE82+BP82+CA82+16</f>
        <v>231</v>
      </c>
      <c r="N82" s="16">
        <f>M82/H82</f>
        <v>0.88167938931297707</v>
      </c>
      <c r="O82" s="21">
        <v>32</v>
      </c>
      <c r="P82" s="21">
        <v>21</v>
      </c>
      <c r="Q82" s="22">
        <v>0.65625</v>
      </c>
      <c r="R82" s="60">
        <v>32</v>
      </c>
      <c r="S82" s="87">
        <v>32</v>
      </c>
      <c r="T82" s="62">
        <v>24</v>
      </c>
      <c r="U82" s="61">
        <f t="shared" si="22"/>
        <v>0.75</v>
      </c>
      <c r="V82" s="185"/>
      <c r="W82" s="185"/>
      <c r="X82" s="83">
        <v>25</v>
      </c>
      <c r="Y82" s="80">
        <f t="shared" si="23"/>
        <v>0.78125</v>
      </c>
      <c r="Z82" s="21">
        <v>26</v>
      </c>
      <c r="AA82" s="21">
        <v>24</v>
      </c>
      <c r="AB82" s="22">
        <f>AA82/Z82</f>
        <v>0.92307692307692313</v>
      </c>
      <c r="AC82" s="60">
        <v>26</v>
      </c>
      <c r="AD82" s="87">
        <v>26</v>
      </c>
      <c r="AE82" s="62">
        <v>24</v>
      </c>
      <c r="AF82" s="61">
        <f t="shared" si="24"/>
        <v>0.92307692307692313</v>
      </c>
      <c r="AG82" s="185"/>
      <c r="AH82" s="185"/>
      <c r="AI82" s="83">
        <v>24</v>
      </c>
      <c r="AJ82" s="80">
        <f t="shared" si="25"/>
        <v>0.92307692307692313</v>
      </c>
      <c r="AK82" s="21">
        <v>64</v>
      </c>
      <c r="AL82" s="21">
        <v>53</v>
      </c>
      <c r="AM82" s="22">
        <v>0.828125</v>
      </c>
      <c r="AN82" s="60">
        <v>64</v>
      </c>
      <c r="AO82" s="87">
        <v>64</v>
      </c>
      <c r="AP82" s="62">
        <v>58</v>
      </c>
      <c r="AQ82" s="61">
        <f t="shared" si="26"/>
        <v>0.90625</v>
      </c>
      <c r="AR82" s="185"/>
      <c r="AS82" s="185"/>
      <c r="AT82" s="83">
        <v>58</v>
      </c>
      <c r="AU82" s="80">
        <f t="shared" si="27"/>
        <v>0.90625</v>
      </c>
      <c r="AV82" s="21">
        <v>87</v>
      </c>
      <c r="AW82" s="21">
        <v>65</v>
      </c>
      <c r="AX82" s="22">
        <v>0.74712643678160917</v>
      </c>
      <c r="AY82" s="60">
        <v>103</v>
      </c>
      <c r="AZ82" s="87">
        <v>103</v>
      </c>
      <c r="BA82" s="62">
        <v>88</v>
      </c>
      <c r="BB82" s="61">
        <f t="shared" si="28"/>
        <v>0.85436893203883491</v>
      </c>
      <c r="BC82" s="185"/>
      <c r="BD82" s="185"/>
      <c r="BE82" s="83">
        <v>89</v>
      </c>
      <c r="BF82" s="80">
        <f t="shared" si="29"/>
        <v>0.86407766990291257</v>
      </c>
      <c r="BG82" s="21">
        <v>5</v>
      </c>
      <c r="BH82" s="21">
        <v>4</v>
      </c>
      <c r="BI82" s="22">
        <v>0.8</v>
      </c>
      <c r="BJ82" s="60">
        <v>5</v>
      </c>
      <c r="BK82" s="87">
        <v>5</v>
      </c>
      <c r="BL82" s="62">
        <v>4</v>
      </c>
      <c r="BM82" s="61">
        <f t="shared" si="30"/>
        <v>0.8</v>
      </c>
      <c r="BN82" s="185"/>
      <c r="BO82" s="185"/>
      <c r="BP82" s="83">
        <v>4</v>
      </c>
      <c r="BQ82" s="80">
        <f t="shared" si="31"/>
        <v>0.8</v>
      </c>
      <c r="BR82" s="21">
        <v>16</v>
      </c>
      <c r="BS82" s="21">
        <v>10</v>
      </c>
      <c r="BT82" s="22">
        <v>0.625</v>
      </c>
      <c r="BU82" s="60">
        <v>16</v>
      </c>
      <c r="BV82" s="87">
        <v>16</v>
      </c>
      <c r="BW82" s="62">
        <v>15</v>
      </c>
      <c r="BX82" s="61">
        <f t="shared" si="32"/>
        <v>0.9375</v>
      </c>
      <c r="BY82" s="185"/>
      <c r="BZ82" s="185"/>
      <c r="CA82" s="83">
        <v>15</v>
      </c>
      <c r="CB82" s="80">
        <f t="shared" si="33"/>
        <v>0.9375</v>
      </c>
      <c r="CC82" s="115" t="s">
        <v>169</v>
      </c>
      <c r="CD82" s="116"/>
    </row>
    <row r="83" spans="1:82">
      <c r="A83" s="15">
        <v>76</v>
      </c>
      <c r="B83" s="92" t="s">
        <v>82</v>
      </c>
      <c r="C83" s="14"/>
      <c r="D83" s="21">
        <f>O83+Z83+AK83+AV83+BG83+BR83</f>
        <v>96</v>
      </c>
      <c r="E83" s="21">
        <f>P83+AA83+AL83+AW83+BH83+BS83</f>
        <v>53</v>
      </c>
      <c r="F83" s="22">
        <f>E83/D83</f>
        <v>0.55208333333333337</v>
      </c>
      <c r="G83" s="62">
        <f t="shared" ref="G83:G91" si="35">R83+AC83+AN83+AY83+BJ83+BU83</f>
        <v>96</v>
      </c>
      <c r="H83" s="83">
        <f t="shared" si="34"/>
        <v>96</v>
      </c>
      <c r="I83" s="60">
        <f>C83+T83+AE83+AP83+BA83++BL83+BW83</f>
        <v>63</v>
      </c>
      <c r="J83" s="59">
        <f t="shared" si="21"/>
        <v>0.65625</v>
      </c>
      <c r="K83" s="182"/>
      <c r="L83" s="182"/>
      <c r="M83" s="49">
        <f>X83+AI83+AT83+BE83+BP83+CA83</f>
        <v>68</v>
      </c>
      <c r="N83" s="16">
        <f>M83/H83</f>
        <v>0.70833333333333337</v>
      </c>
      <c r="O83" s="39">
        <v>22</v>
      </c>
      <c r="P83" s="39">
        <v>15</v>
      </c>
      <c r="Q83" s="22">
        <f>P83/O83</f>
        <v>0.68181818181818177</v>
      </c>
      <c r="R83" s="60">
        <v>22</v>
      </c>
      <c r="S83" s="87">
        <v>22</v>
      </c>
      <c r="T83" s="62">
        <v>17</v>
      </c>
      <c r="U83" s="61">
        <f t="shared" si="22"/>
        <v>0.77272727272727271</v>
      </c>
      <c r="V83" s="185"/>
      <c r="W83" s="185"/>
      <c r="X83" s="83">
        <v>18</v>
      </c>
      <c r="Y83" s="80">
        <f t="shared" si="23"/>
        <v>0.81818181818181823</v>
      </c>
      <c r="Z83" s="39">
        <v>37</v>
      </c>
      <c r="AA83" s="39">
        <v>18</v>
      </c>
      <c r="AB83" s="22">
        <f>AA83/Z83</f>
        <v>0.48648648648648651</v>
      </c>
      <c r="AC83" s="60">
        <v>37</v>
      </c>
      <c r="AD83" s="87">
        <v>37</v>
      </c>
      <c r="AE83" s="62">
        <v>22</v>
      </c>
      <c r="AF83" s="61">
        <f t="shared" si="24"/>
        <v>0.59459459459459463</v>
      </c>
      <c r="AG83" s="185"/>
      <c r="AH83" s="185"/>
      <c r="AI83" s="83">
        <v>23</v>
      </c>
      <c r="AJ83" s="80">
        <f t="shared" si="25"/>
        <v>0.6216216216216216</v>
      </c>
      <c r="AK83" s="39">
        <v>9</v>
      </c>
      <c r="AL83" s="39">
        <v>5</v>
      </c>
      <c r="AM83" s="22">
        <f>AL83/AK83</f>
        <v>0.55555555555555558</v>
      </c>
      <c r="AN83" s="60">
        <v>9</v>
      </c>
      <c r="AO83" s="87">
        <v>9</v>
      </c>
      <c r="AP83" s="62">
        <v>6</v>
      </c>
      <c r="AQ83" s="61">
        <f t="shared" si="26"/>
        <v>0.66666666666666663</v>
      </c>
      <c r="AR83" s="185"/>
      <c r="AS83" s="185"/>
      <c r="AT83" s="83">
        <v>7</v>
      </c>
      <c r="AU83" s="80">
        <f t="shared" si="27"/>
        <v>0.77777777777777779</v>
      </c>
      <c r="AV83" s="39">
        <v>17</v>
      </c>
      <c r="AW83" s="39">
        <v>8</v>
      </c>
      <c r="AX83" s="22">
        <f>AW83/AV83</f>
        <v>0.47058823529411764</v>
      </c>
      <c r="AY83" s="60">
        <v>17</v>
      </c>
      <c r="AZ83" s="87">
        <v>17</v>
      </c>
      <c r="BA83" s="62">
        <v>10</v>
      </c>
      <c r="BB83" s="61">
        <f t="shared" si="28"/>
        <v>0.58823529411764708</v>
      </c>
      <c r="BC83" s="185"/>
      <c r="BD83" s="185"/>
      <c r="BE83" s="83">
        <v>11</v>
      </c>
      <c r="BF83" s="80">
        <f t="shared" si="29"/>
        <v>0.6470588235294118</v>
      </c>
      <c r="BG83" s="39">
        <v>0</v>
      </c>
      <c r="BH83" s="39">
        <v>0</v>
      </c>
      <c r="BI83" s="22">
        <v>0</v>
      </c>
      <c r="BJ83" s="60">
        <v>0</v>
      </c>
      <c r="BK83" s="87">
        <v>0</v>
      </c>
      <c r="BL83" s="62">
        <v>0</v>
      </c>
      <c r="BM83" s="61">
        <v>0</v>
      </c>
      <c r="BN83" s="185"/>
      <c r="BO83" s="185"/>
      <c r="BP83" s="83">
        <v>0</v>
      </c>
      <c r="BQ83" s="80">
        <v>0</v>
      </c>
      <c r="BR83" s="39">
        <v>11</v>
      </c>
      <c r="BS83" s="39">
        <v>7</v>
      </c>
      <c r="BT83" s="22">
        <f>BS83/BR83</f>
        <v>0.63636363636363635</v>
      </c>
      <c r="BU83" s="60">
        <v>11</v>
      </c>
      <c r="BV83" s="87">
        <v>11</v>
      </c>
      <c r="BW83" s="62">
        <v>8</v>
      </c>
      <c r="BX83" s="61">
        <f t="shared" si="32"/>
        <v>0.72727272727272729</v>
      </c>
      <c r="BY83" s="185"/>
      <c r="BZ83" s="185"/>
      <c r="CA83" s="83">
        <v>9</v>
      </c>
      <c r="CB83" s="80">
        <f t="shared" si="33"/>
        <v>0.81818181818181823</v>
      </c>
      <c r="CC83" s="12"/>
      <c r="CD83" s="12"/>
    </row>
    <row r="84" spans="1:82" ht="329.25" customHeight="1">
      <c r="A84" s="15">
        <v>77</v>
      </c>
      <c r="B84" s="92" t="s">
        <v>83</v>
      </c>
      <c r="C84" s="106" t="s">
        <v>167</v>
      </c>
      <c r="D84" s="21">
        <f>O84+Z84+AK84+AV84+BG84+BR84+68+11+31+1</f>
        <v>335</v>
      </c>
      <c r="E84" s="21">
        <f>P84+AA84+AL84+AW84+BH84+BS84+58+11+19</f>
        <v>305</v>
      </c>
      <c r="F84" s="22">
        <f>E84/D84</f>
        <v>0.91044776119402981</v>
      </c>
      <c r="G84" s="62">
        <f>R84+AC84+AN84+AY84+BJ84+BU84+68+11+31+1+19</f>
        <v>359</v>
      </c>
      <c r="H84" s="83">
        <f>S84+AD84+AO84+AZ84+BK84+BV84+68+11+26+1+19</f>
        <v>359</v>
      </c>
      <c r="I84" s="60">
        <f>T84+AE84+AP84+BA84++BL84+BW84+58+11+19+19</f>
        <v>329</v>
      </c>
      <c r="J84" s="59">
        <f t="shared" si="21"/>
        <v>0.91643454038997219</v>
      </c>
      <c r="K84" s="182"/>
      <c r="L84" s="182"/>
      <c r="M84" s="49">
        <f>X84+AI84+AT84+BE84+BP84+CA84+58+11+19+19</f>
        <v>334</v>
      </c>
      <c r="N84" s="16">
        <f>M84/H84</f>
        <v>0.93036211699164351</v>
      </c>
      <c r="O84" s="21">
        <v>54</v>
      </c>
      <c r="P84" s="21">
        <v>54</v>
      </c>
      <c r="Q84" s="22">
        <f>P84/O84</f>
        <v>1</v>
      </c>
      <c r="R84" s="60">
        <v>54</v>
      </c>
      <c r="S84" s="87">
        <v>57</v>
      </c>
      <c r="T84" s="62">
        <v>54</v>
      </c>
      <c r="U84" s="61">
        <f t="shared" si="22"/>
        <v>1</v>
      </c>
      <c r="V84" s="185"/>
      <c r="W84" s="185"/>
      <c r="X84" s="83">
        <v>57</v>
      </c>
      <c r="Y84" s="80">
        <f t="shared" si="23"/>
        <v>1</v>
      </c>
      <c r="Z84" s="21">
        <v>12</v>
      </c>
      <c r="AA84" s="21">
        <v>12</v>
      </c>
      <c r="AB84" s="22">
        <f>AA84/Z84</f>
        <v>1</v>
      </c>
      <c r="AC84" s="60">
        <v>12</v>
      </c>
      <c r="AD84" s="87">
        <v>12</v>
      </c>
      <c r="AE84" s="62">
        <v>12</v>
      </c>
      <c r="AF84" s="61">
        <f t="shared" si="24"/>
        <v>1</v>
      </c>
      <c r="AG84" s="185"/>
      <c r="AH84" s="185"/>
      <c r="AI84" s="83">
        <v>12</v>
      </c>
      <c r="AJ84" s="80">
        <f t="shared" si="25"/>
        <v>1</v>
      </c>
      <c r="AK84" s="21">
        <v>43</v>
      </c>
      <c r="AL84" s="21">
        <v>43</v>
      </c>
      <c r="AM84" s="22">
        <f>AL84/AK84</f>
        <v>1</v>
      </c>
      <c r="AN84" s="60">
        <v>47</v>
      </c>
      <c r="AO84" s="87">
        <v>48</v>
      </c>
      <c r="AP84" s="62">
        <v>47</v>
      </c>
      <c r="AQ84" s="61">
        <f t="shared" si="26"/>
        <v>1</v>
      </c>
      <c r="AR84" s="185"/>
      <c r="AS84" s="185"/>
      <c r="AT84" s="83">
        <v>48</v>
      </c>
      <c r="AU84" s="80">
        <f t="shared" si="27"/>
        <v>1</v>
      </c>
      <c r="AV84" s="21">
        <v>95</v>
      </c>
      <c r="AW84" s="21">
        <v>89</v>
      </c>
      <c r="AX84" s="22">
        <f>AW84/AV84</f>
        <v>0.93684210526315792</v>
      </c>
      <c r="AY84" s="60">
        <v>96</v>
      </c>
      <c r="AZ84" s="87">
        <v>97</v>
      </c>
      <c r="BA84" s="62">
        <v>90</v>
      </c>
      <c r="BB84" s="61">
        <f t="shared" si="28"/>
        <v>0.9375</v>
      </c>
      <c r="BC84" s="185"/>
      <c r="BD84" s="185"/>
      <c r="BE84" s="83">
        <v>91</v>
      </c>
      <c r="BF84" s="80">
        <f t="shared" si="29"/>
        <v>0.93814432989690721</v>
      </c>
      <c r="BG84" s="21">
        <v>5</v>
      </c>
      <c r="BH84" s="21">
        <v>4</v>
      </c>
      <c r="BI84" s="22">
        <f>BH84/BG84</f>
        <v>0.8</v>
      </c>
      <c r="BJ84" s="60">
        <v>5</v>
      </c>
      <c r="BK84" s="87">
        <v>5</v>
      </c>
      <c r="BL84" s="62">
        <v>4</v>
      </c>
      <c r="BM84" s="61">
        <f t="shared" si="30"/>
        <v>0.8</v>
      </c>
      <c r="BN84" s="185"/>
      <c r="BO84" s="185"/>
      <c r="BP84" s="83">
        <v>4</v>
      </c>
      <c r="BQ84" s="80">
        <f t="shared" si="31"/>
        <v>0.8</v>
      </c>
      <c r="BR84" s="21">
        <v>15</v>
      </c>
      <c r="BS84" s="21">
        <v>15</v>
      </c>
      <c r="BT84" s="22">
        <f>BS84/BR84</f>
        <v>1</v>
      </c>
      <c r="BU84" s="60">
        <v>15</v>
      </c>
      <c r="BV84" s="87">
        <v>15</v>
      </c>
      <c r="BW84" s="62">
        <v>15</v>
      </c>
      <c r="BX84" s="61">
        <f t="shared" si="32"/>
        <v>1</v>
      </c>
      <c r="BY84" s="185"/>
      <c r="BZ84" s="185"/>
      <c r="CA84" s="83">
        <v>15</v>
      </c>
      <c r="CB84" s="80">
        <f t="shared" si="33"/>
        <v>1</v>
      </c>
      <c r="CC84" s="115" t="s">
        <v>168</v>
      </c>
      <c r="CD84" s="116"/>
    </row>
    <row r="85" spans="1:82" ht="34.5" customHeight="1">
      <c r="A85" s="15">
        <v>78</v>
      </c>
      <c r="B85" s="2" t="s">
        <v>84</v>
      </c>
      <c r="C85" s="4"/>
      <c r="D85" s="11">
        <v>0</v>
      </c>
      <c r="E85" s="11">
        <v>0</v>
      </c>
      <c r="F85" s="11">
        <v>0</v>
      </c>
      <c r="G85" s="84">
        <f t="shared" si="35"/>
        <v>0</v>
      </c>
      <c r="H85" s="84">
        <f t="shared" si="34"/>
        <v>0</v>
      </c>
      <c r="I85" s="50">
        <f>C85+T85+AE85+AP85+BA85++BL85+BW85</f>
        <v>0</v>
      </c>
      <c r="J85" s="96">
        <v>0</v>
      </c>
      <c r="K85" s="182"/>
      <c r="L85" s="182"/>
      <c r="M85" s="50">
        <v>0</v>
      </c>
      <c r="N85" s="96">
        <v>0</v>
      </c>
      <c r="O85" s="11">
        <v>0</v>
      </c>
      <c r="P85" s="11">
        <v>0</v>
      </c>
      <c r="Q85" s="11">
        <v>0</v>
      </c>
      <c r="R85" s="84">
        <v>0</v>
      </c>
      <c r="S85" s="84">
        <v>0</v>
      </c>
      <c r="T85" s="84">
        <v>0</v>
      </c>
      <c r="U85" s="97">
        <v>0</v>
      </c>
      <c r="V85" s="185"/>
      <c r="W85" s="185"/>
      <c r="X85" s="84">
        <v>0</v>
      </c>
      <c r="Y85" s="97">
        <v>0</v>
      </c>
      <c r="Z85" s="11">
        <v>0</v>
      </c>
      <c r="AA85" s="11">
        <v>0</v>
      </c>
      <c r="AB85" s="11">
        <v>0</v>
      </c>
      <c r="AC85" s="84">
        <v>0</v>
      </c>
      <c r="AD85" s="84">
        <v>0</v>
      </c>
      <c r="AE85" s="84">
        <v>0</v>
      </c>
      <c r="AF85" s="97">
        <v>0</v>
      </c>
      <c r="AG85" s="185"/>
      <c r="AH85" s="185"/>
      <c r="AI85" s="84">
        <v>0</v>
      </c>
      <c r="AJ85" s="97">
        <v>0</v>
      </c>
      <c r="AK85" s="11">
        <v>0</v>
      </c>
      <c r="AL85" s="11">
        <v>0</v>
      </c>
      <c r="AM85" s="11">
        <v>0</v>
      </c>
      <c r="AN85" s="84">
        <v>0</v>
      </c>
      <c r="AO85" s="84">
        <v>0</v>
      </c>
      <c r="AP85" s="84">
        <v>0</v>
      </c>
      <c r="AQ85" s="97">
        <v>0</v>
      </c>
      <c r="AR85" s="185"/>
      <c r="AS85" s="185"/>
      <c r="AT85" s="84">
        <v>0</v>
      </c>
      <c r="AU85" s="97">
        <v>0</v>
      </c>
      <c r="AV85" s="11">
        <v>0</v>
      </c>
      <c r="AW85" s="11">
        <v>0</v>
      </c>
      <c r="AX85" s="11">
        <v>0</v>
      </c>
      <c r="AY85" s="84">
        <v>0</v>
      </c>
      <c r="AZ85" s="84">
        <v>0</v>
      </c>
      <c r="BA85" s="84">
        <v>0</v>
      </c>
      <c r="BB85" s="97">
        <v>0</v>
      </c>
      <c r="BC85" s="185"/>
      <c r="BD85" s="185"/>
      <c r="BE85" s="84">
        <v>0</v>
      </c>
      <c r="BF85" s="97">
        <v>0</v>
      </c>
      <c r="BG85" s="11">
        <v>0</v>
      </c>
      <c r="BH85" s="11">
        <v>0</v>
      </c>
      <c r="BI85" s="11">
        <v>0</v>
      </c>
      <c r="BJ85" s="84">
        <v>0</v>
      </c>
      <c r="BK85" s="84">
        <v>0</v>
      </c>
      <c r="BL85" s="84">
        <v>0</v>
      </c>
      <c r="BM85" s="97">
        <v>0</v>
      </c>
      <c r="BN85" s="185"/>
      <c r="BO85" s="185"/>
      <c r="BP85" s="84"/>
      <c r="BQ85" s="97">
        <v>0</v>
      </c>
      <c r="BR85" s="11">
        <v>0</v>
      </c>
      <c r="BS85" s="11">
        <v>0</v>
      </c>
      <c r="BT85" s="11">
        <v>0</v>
      </c>
      <c r="BU85" s="84">
        <v>0</v>
      </c>
      <c r="BV85" s="84">
        <v>0</v>
      </c>
      <c r="BW85" s="84">
        <v>0</v>
      </c>
      <c r="BX85" s="97">
        <v>0</v>
      </c>
      <c r="BY85" s="185"/>
      <c r="BZ85" s="185"/>
      <c r="CA85" s="84">
        <v>0</v>
      </c>
      <c r="CB85" s="97">
        <v>0</v>
      </c>
      <c r="CC85" s="122"/>
      <c r="CD85" s="123"/>
    </row>
    <row r="86" spans="1:82" ht="33.75" customHeight="1">
      <c r="A86" s="15">
        <v>79</v>
      </c>
      <c r="B86" s="2" t="s">
        <v>85</v>
      </c>
      <c r="C86" s="4"/>
      <c r="D86" s="11">
        <v>0</v>
      </c>
      <c r="E86" s="11">
        <v>0</v>
      </c>
      <c r="F86" s="11">
        <v>0</v>
      </c>
      <c r="G86" s="84">
        <f t="shared" si="35"/>
        <v>0</v>
      </c>
      <c r="H86" s="84">
        <f t="shared" si="34"/>
        <v>0</v>
      </c>
      <c r="I86" s="50">
        <f>C86+T86+AE86+AP86+BA86++BL86+BW86</f>
        <v>0</v>
      </c>
      <c r="J86" s="96">
        <v>0</v>
      </c>
      <c r="K86" s="182"/>
      <c r="L86" s="182"/>
      <c r="M86" s="50">
        <v>0</v>
      </c>
      <c r="N86" s="96">
        <v>0</v>
      </c>
      <c r="O86" s="11">
        <v>0</v>
      </c>
      <c r="P86" s="11">
        <v>0</v>
      </c>
      <c r="Q86" s="11">
        <v>0</v>
      </c>
      <c r="R86" s="84">
        <v>0</v>
      </c>
      <c r="S86" s="84">
        <v>0</v>
      </c>
      <c r="T86" s="84">
        <v>0</v>
      </c>
      <c r="U86" s="97">
        <v>0</v>
      </c>
      <c r="V86" s="185"/>
      <c r="W86" s="185"/>
      <c r="X86" s="84">
        <v>0</v>
      </c>
      <c r="Y86" s="97">
        <v>0</v>
      </c>
      <c r="Z86" s="11">
        <v>0</v>
      </c>
      <c r="AA86" s="11">
        <v>0</v>
      </c>
      <c r="AB86" s="11">
        <v>0</v>
      </c>
      <c r="AC86" s="84">
        <v>0</v>
      </c>
      <c r="AD86" s="84">
        <v>0</v>
      </c>
      <c r="AE86" s="84">
        <v>0</v>
      </c>
      <c r="AF86" s="97">
        <v>0</v>
      </c>
      <c r="AG86" s="185"/>
      <c r="AH86" s="185"/>
      <c r="AI86" s="84">
        <v>0</v>
      </c>
      <c r="AJ86" s="97">
        <v>0</v>
      </c>
      <c r="AK86" s="11">
        <v>0</v>
      </c>
      <c r="AL86" s="11">
        <v>0</v>
      </c>
      <c r="AM86" s="11">
        <v>0</v>
      </c>
      <c r="AN86" s="84">
        <v>0</v>
      </c>
      <c r="AO86" s="84">
        <v>0</v>
      </c>
      <c r="AP86" s="84">
        <v>0</v>
      </c>
      <c r="AQ86" s="97">
        <v>0</v>
      </c>
      <c r="AR86" s="185"/>
      <c r="AS86" s="185"/>
      <c r="AT86" s="84">
        <v>0</v>
      </c>
      <c r="AU86" s="97">
        <v>0</v>
      </c>
      <c r="AV86" s="11">
        <v>0</v>
      </c>
      <c r="AW86" s="11">
        <v>0</v>
      </c>
      <c r="AX86" s="11">
        <v>0</v>
      </c>
      <c r="AY86" s="84">
        <v>0</v>
      </c>
      <c r="AZ86" s="84">
        <v>0</v>
      </c>
      <c r="BA86" s="84">
        <v>0</v>
      </c>
      <c r="BB86" s="97">
        <v>0</v>
      </c>
      <c r="BC86" s="185"/>
      <c r="BD86" s="185"/>
      <c r="BE86" s="84">
        <v>0</v>
      </c>
      <c r="BF86" s="97">
        <v>0</v>
      </c>
      <c r="BG86" s="11">
        <v>0</v>
      </c>
      <c r="BH86" s="11">
        <v>0</v>
      </c>
      <c r="BI86" s="11">
        <v>0</v>
      </c>
      <c r="BJ86" s="84">
        <v>0</v>
      </c>
      <c r="BK86" s="84">
        <v>0</v>
      </c>
      <c r="BL86" s="84">
        <v>0</v>
      </c>
      <c r="BM86" s="97">
        <v>0</v>
      </c>
      <c r="BN86" s="185"/>
      <c r="BO86" s="185"/>
      <c r="BP86" s="84"/>
      <c r="BQ86" s="97">
        <v>0</v>
      </c>
      <c r="BR86" s="11">
        <v>0</v>
      </c>
      <c r="BS86" s="11">
        <v>0</v>
      </c>
      <c r="BT86" s="11">
        <v>0</v>
      </c>
      <c r="BU86" s="84">
        <v>0</v>
      </c>
      <c r="BV86" s="84">
        <v>0</v>
      </c>
      <c r="BW86" s="84">
        <v>0</v>
      </c>
      <c r="BX86" s="97">
        <v>0</v>
      </c>
      <c r="BY86" s="185"/>
      <c r="BZ86" s="185"/>
      <c r="CA86" s="84">
        <v>0</v>
      </c>
      <c r="CB86" s="97">
        <v>0</v>
      </c>
      <c r="CC86" s="122"/>
      <c r="CD86" s="123"/>
    </row>
    <row r="87" spans="1:82" ht="215.25" customHeight="1">
      <c r="A87" s="15">
        <v>80</v>
      </c>
      <c r="B87" s="92" t="s">
        <v>86</v>
      </c>
      <c r="C87" s="14"/>
      <c r="D87" s="21">
        <f>O87+Z87+AK87+AV87+BG87+BR87+1</f>
        <v>25</v>
      </c>
      <c r="E87" s="21">
        <f>P87+AA87+AL87+AW87+BH87+BS87+1</f>
        <v>17</v>
      </c>
      <c r="F87" s="22">
        <f>E87/D87</f>
        <v>0.68</v>
      </c>
      <c r="G87" s="62">
        <f>R87+AC87+AN87+AY87+BJ87+BU87+1</f>
        <v>33</v>
      </c>
      <c r="H87" s="83">
        <f>S87+AD87+AO87+AZ87+BK87+BV87+1</f>
        <v>41</v>
      </c>
      <c r="I87" s="60">
        <f>C87+T87+AE87+AP87+BA87++BL87+BW87+1</f>
        <v>26</v>
      </c>
      <c r="J87" s="59">
        <f t="shared" si="21"/>
        <v>0.78787878787878785</v>
      </c>
      <c r="K87" s="182"/>
      <c r="L87" s="182"/>
      <c r="M87" s="49">
        <f>X87+AI87+AT87+BE87+BP87+CA87+1</f>
        <v>33</v>
      </c>
      <c r="N87" s="16">
        <f>M87/H87</f>
        <v>0.80487804878048785</v>
      </c>
      <c r="O87" s="21">
        <v>5</v>
      </c>
      <c r="P87" s="21">
        <v>4</v>
      </c>
      <c r="Q87" s="22">
        <f>P87/O87</f>
        <v>0.8</v>
      </c>
      <c r="R87" s="60">
        <v>5</v>
      </c>
      <c r="S87" s="87">
        <v>5</v>
      </c>
      <c r="T87" s="62">
        <v>4</v>
      </c>
      <c r="U87" s="61">
        <f t="shared" si="22"/>
        <v>0.8</v>
      </c>
      <c r="V87" s="185"/>
      <c r="W87" s="185"/>
      <c r="X87" s="83">
        <v>4</v>
      </c>
      <c r="Y87" s="80">
        <f t="shared" si="23"/>
        <v>0.8</v>
      </c>
      <c r="Z87" s="21">
        <v>0</v>
      </c>
      <c r="AA87" s="21">
        <v>0</v>
      </c>
      <c r="AB87" s="22">
        <v>0</v>
      </c>
      <c r="AC87" s="60">
        <v>0</v>
      </c>
      <c r="AD87" s="87">
        <v>0</v>
      </c>
      <c r="AE87" s="62">
        <v>0</v>
      </c>
      <c r="AF87" s="61">
        <v>0</v>
      </c>
      <c r="AG87" s="185"/>
      <c r="AH87" s="185"/>
      <c r="AI87" s="83">
        <v>0</v>
      </c>
      <c r="AJ87" s="80">
        <v>0</v>
      </c>
      <c r="AK87" s="21">
        <v>8</v>
      </c>
      <c r="AL87" s="21">
        <v>4</v>
      </c>
      <c r="AM87" s="22">
        <f>AL87/AK87</f>
        <v>0.5</v>
      </c>
      <c r="AN87" s="60">
        <v>12</v>
      </c>
      <c r="AO87" s="87">
        <v>18</v>
      </c>
      <c r="AP87" s="62">
        <v>10</v>
      </c>
      <c r="AQ87" s="61">
        <f t="shared" si="26"/>
        <v>0.83333333333333337</v>
      </c>
      <c r="AR87" s="185"/>
      <c r="AS87" s="185"/>
      <c r="AT87" s="83">
        <v>15</v>
      </c>
      <c r="AU87" s="80">
        <f t="shared" si="27"/>
        <v>0.83333333333333337</v>
      </c>
      <c r="AV87" s="21">
        <v>6</v>
      </c>
      <c r="AW87" s="21">
        <v>5</v>
      </c>
      <c r="AX87" s="22">
        <f>AW87/AV87</f>
        <v>0.83333333333333337</v>
      </c>
      <c r="AY87" s="60">
        <v>7</v>
      </c>
      <c r="AZ87" s="87">
        <v>8</v>
      </c>
      <c r="BA87" s="62">
        <v>6</v>
      </c>
      <c r="BB87" s="61">
        <f t="shared" si="28"/>
        <v>0.8571428571428571</v>
      </c>
      <c r="BC87" s="185"/>
      <c r="BD87" s="185"/>
      <c r="BE87" s="83">
        <v>7</v>
      </c>
      <c r="BF87" s="80">
        <f t="shared" si="29"/>
        <v>0.875</v>
      </c>
      <c r="BG87" s="21">
        <v>0</v>
      </c>
      <c r="BH87" s="21">
        <v>0</v>
      </c>
      <c r="BI87" s="22">
        <v>0</v>
      </c>
      <c r="BJ87" s="60">
        <v>1</v>
      </c>
      <c r="BK87" s="87">
        <v>1</v>
      </c>
      <c r="BL87" s="62">
        <v>1</v>
      </c>
      <c r="BM87" s="61">
        <f t="shared" si="30"/>
        <v>1</v>
      </c>
      <c r="BN87" s="185"/>
      <c r="BO87" s="185"/>
      <c r="BP87" s="83">
        <v>1</v>
      </c>
      <c r="BQ87" s="80">
        <f t="shared" si="31"/>
        <v>1</v>
      </c>
      <c r="BR87" s="21">
        <v>5</v>
      </c>
      <c r="BS87" s="21">
        <v>3</v>
      </c>
      <c r="BT87" s="22">
        <f>BS87/BR87</f>
        <v>0.6</v>
      </c>
      <c r="BU87" s="60">
        <v>7</v>
      </c>
      <c r="BV87" s="87">
        <v>8</v>
      </c>
      <c r="BW87" s="62">
        <v>4</v>
      </c>
      <c r="BX87" s="61">
        <f t="shared" si="32"/>
        <v>0.5714285714285714</v>
      </c>
      <c r="BY87" s="185"/>
      <c r="BZ87" s="185"/>
      <c r="CA87" s="83">
        <v>5</v>
      </c>
      <c r="CB87" s="80">
        <f t="shared" si="33"/>
        <v>0.625</v>
      </c>
      <c r="CC87" s="120" t="s">
        <v>242</v>
      </c>
      <c r="CD87" s="121"/>
    </row>
    <row r="88" spans="1:82" ht="48" customHeight="1">
      <c r="A88" s="15">
        <v>81</v>
      </c>
      <c r="B88" s="95" t="s">
        <v>87</v>
      </c>
      <c r="C88" s="13" t="s">
        <v>153</v>
      </c>
      <c r="D88" s="21">
        <f>O88+Z88+AK88+AV88+BG88+BR88+2</f>
        <v>26</v>
      </c>
      <c r="E88" s="21">
        <f>P88+AA88+AL88+AW88+BH88+BS88+2</f>
        <v>22</v>
      </c>
      <c r="F88" s="22">
        <f>E88/D88</f>
        <v>0.84615384615384615</v>
      </c>
      <c r="G88" s="62">
        <f>R88+AC88+AN88+AY88+BJ88+BU88+2</f>
        <v>33</v>
      </c>
      <c r="H88" s="83">
        <f>S88+AD88+AO88+AZ88+BK88+BV88+2</f>
        <v>35</v>
      </c>
      <c r="I88" s="60">
        <f>T88+AE88+AP88+BA88++BL88+BW88+2</f>
        <v>30</v>
      </c>
      <c r="J88" s="59">
        <f t="shared" si="21"/>
        <v>0.90909090909090906</v>
      </c>
      <c r="K88" s="182"/>
      <c r="L88" s="182"/>
      <c r="M88" s="49">
        <f>X88+AI88+AT88+BE88+BP88+CA88+2</f>
        <v>35</v>
      </c>
      <c r="N88" s="16">
        <f>M88/H88</f>
        <v>1</v>
      </c>
      <c r="O88" s="21">
        <v>7</v>
      </c>
      <c r="P88" s="21">
        <v>6</v>
      </c>
      <c r="Q88" s="22">
        <f>P88/O88</f>
        <v>0.8571428571428571</v>
      </c>
      <c r="R88" s="60">
        <v>9</v>
      </c>
      <c r="S88" s="87">
        <v>10</v>
      </c>
      <c r="T88" s="62">
        <v>9</v>
      </c>
      <c r="U88" s="61">
        <v>0.1</v>
      </c>
      <c r="V88" s="185"/>
      <c r="W88" s="185"/>
      <c r="X88" s="83">
        <v>10</v>
      </c>
      <c r="Y88" s="80">
        <f t="shared" si="23"/>
        <v>1</v>
      </c>
      <c r="Z88" s="21">
        <v>6</v>
      </c>
      <c r="AA88" s="21">
        <v>4</v>
      </c>
      <c r="AB88" s="22">
        <f>AA88/Z88</f>
        <v>0.66666666666666663</v>
      </c>
      <c r="AC88" s="60">
        <v>6</v>
      </c>
      <c r="AD88" s="87">
        <v>6</v>
      </c>
      <c r="AE88" s="62">
        <v>5</v>
      </c>
      <c r="AF88" s="61">
        <f t="shared" si="24"/>
        <v>0.83333333333333337</v>
      </c>
      <c r="AG88" s="185"/>
      <c r="AH88" s="185"/>
      <c r="AI88" s="83">
        <v>6</v>
      </c>
      <c r="AJ88" s="80">
        <f t="shared" si="25"/>
        <v>1</v>
      </c>
      <c r="AK88" s="21">
        <v>5</v>
      </c>
      <c r="AL88" s="21">
        <v>5</v>
      </c>
      <c r="AM88" s="22">
        <f>AL88/AK88</f>
        <v>1</v>
      </c>
      <c r="AN88" s="60">
        <v>8</v>
      </c>
      <c r="AO88" s="87">
        <v>8</v>
      </c>
      <c r="AP88" s="62">
        <v>7</v>
      </c>
      <c r="AQ88" s="61">
        <f t="shared" si="26"/>
        <v>0.875</v>
      </c>
      <c r="AR88" s="185"/>
      <c r="AS88" s="185"/>
      <c r="AT88" s="83">
        <v>8</v>
      </c>
      <c r="AU88" s="80">
        <f t="shared" si="27"/>
        <v>1</v>
      </c>
      <c r="AV88" s="21">
        <v>4</v>
      </c>
      <c r="AW88" s="21">
        <v>4</v>
      </c>
      <c r="AX88" s="22">
        <f>AW88/AV88</f>
        <v>1</v>
      </c>
      <c r="AY88" s="60">
        <v>6</v>
      </c>
      <c r="AZ88" s="87">
        <v>6</v>
      </c>
      <c r="BA88" s="62">
        <v>5</v>
      </c>
      <c r="BB88" s="61">
        <f t="shared" si="28"/>
        <v>0.83333333333333337</v>
      </c>
      <c r="BC88" s="185"/>
      <c r="BD88" s="185"/>
      <c r="BE88" s="83">
        <v>6</v>
      </c>
      <c r="BF88" s="80">
        <f t="shared" si="29"/>
        <v>1</v>
      </c>
      <c r="BG88" s="21">
        <v>0</v>
      </c>
      <c r="BH88" s="21">
        <v>0</v>
      </c>
      <c r="BI88" s="22">
        <v>0</v>
      </c>
      <c r="BJ88" s="60">
        <v>0</v>
      </c>
      <c r="BK88" s="87">
        <v>0</v>
      </c>
      <c r="BL88" s="62">
        <v>0</v>
      </c>
      <c r="BM88" s="61">
        <v>0</v>
      </c>
      <c r="BN88" s="185"/>
      <c r="BO88" s="185"/>
      <c r="BP88" s="83">
        <v>0</v>
      </c>
      <c r="BQ88" s="80">
        <v>0</v>
      </c>
      <c r="BR88" s="21">
        <v>2</v>
      </c>
      <c r="BS88" s="21">
        <v>1</v>
      </c>
      <c r="BT88" s="22">
        <f>BS88/BR88</f>
        <v>0.5</v>
      </c>
      <c r="BU88" s="60">
        <v>2</v>
      </c>
      <c r="BV88" s="87">
        <v>3</v>
      </c>
      <c r="BW88" s="62">
        <v>2</v>
      </c>
      <c r="BX88" s="61">
        <f t="shared" si="32"/>
        <v>1</v>
      </c>
      <c r="BY88" s="185"/>
      <c r="BZ88" s="185"/>
      <c r="CA88" s="83">
        <v>3</v>
      </c>
      <c r="CB88" s="80">
        <f t="shared" si="33"/>
        <v>1</v>
      </c>
      <c r="CC88" s="124" t="s">
        <v>152</v>
      </c>
      <c r="CD88" s="125"/>
    </row>
    <row r="89" spans="1:82" ht="45">
      <c r="A89" s="15">
        <v>82</v>
      </c>
      <c r="B89" s="95" t="s">
        <v>88</v>
      </c>
      <c r="C89" s="13" t="s">
        <v>185</v>
      </c>
      <c r="D89" s="21">
        <f>O89+Z89+AK89+AV89+BG89+BR89+1+1</f>
        <v>32</v>
      </c>
      <c r="E89" s="21">
        <f>P89+AA89+AL89+AW89+BH89+BS89+1</f>
        <v>15</v>
      </c>
      <c r="F89" s="22">
        <v>0.65625</v>
      </c>
      <c r="G89" s="62">
        <f>R89+AC89+AN89+AY89+BJ89+BU89+2+4</f>
        <v>37</v>
      </c>
      <c r="H89" s="83">
        <f>S89+AD89+AO89+AZ89+BK89+BV89+2+4</f>
        <v>37</v>
      </c>
      <c r="I89" s="60">
        <f>T89+AE89+AP89+BA89++BL89+BW89+2+4</f>
        <v>25</v>
      </c>
      <c r="J89" s="59">
        <f t="shared" si="21"/>
        <v>0.67567567567567566</v>
      </c>
      <c r="K89" s="182"/>
      <c r="L89" s="182"/>
      <c r="M89" s="49">
        <f>X89+AI89+AT89+BE89+BP89+CA89+2+4</f>
        <v>28</v>
      </c>
      <c r="N89" s="16">
        <f>M89/H89</f>
        <v>0.7567567567567568</v>
      </c>
      <c r="O89" s="21">
        <v>5</v>
      </c>
      <c r="P89" s="21">
        <v>4</v>
      </c>
      <c r="Q89" s="22">
        <v>1</v>
      </c>
      <c r="R89" s="60">
        <v>5</v>
      </c>
      <c r="S89" s="87">
        <v>5</v>
      </c>
      <c r="T89" s="62">
        <v>5</v>
      </c>
      <c r="U89" s="61">
        <f t="shared" si="22"/>
        <v>1</v>
      </c>
      <c r="V89" s="185"/>
      <c r="W89" s="185"/>
      <c r="X89" s="83">
        <v>5</v>
      </c>
      <c r="Y89" s="80">
        <f t="shared" si="23"/>
        <v>1</v>
      </c>
      <c r="Z89" s="21">
        <v>1</v>
      </c>
      <c r="AA89" s="21">
        <v>1</v>
      </c>
      <c r="AB89" s="22">
        <v>0.5</v>
      </c>
      <c r="AC89" s="60">
        <v>1</v>
      </c>
      <c r="AD89" s="87">
        <v>1</v>
      </c>
      <c r="AE89" s="62">
        <v>1</v>
      </c>
      <c r="AF89" s="61">
        <f t="shared" si="24"/>
        <v>1</v>
      </c>
      <c r="AG89" s="185"/>
      <c r="AH89" s="185"/>
      <c r="AI89" s="83">
        <v>1</v>
      </c>
      <c r="AJ89" s="80">
        <f t="shared" si="25"/>
        <v>1</v>
      </c>
      <c r="AK89" s="21">
        <v>16</v>
      </c>
      <c r="AL89" s="21">
        <v>8</v>
      </c>
      <c r="AM89" s="22">
        <v>1</v>
      </c>
      <c r="AN89" s="60">
        <v>16</v>
      </c>
      <c r="AO89" s="87">
        <v>16</v>
      </c>
      <c r="AP89" s="62">
        <v>9</v>
      </c>
      <c r="AQ89" s="61">
        <f t="shared" si="26"/>
        <v>0.5625</v>
      </c>
      <c r="AR89" s="185"/>
      <c r="AS89" s="185"/>
      <c r="AT89" s="83">
        <v>11</v>
      </c>
      <c r="AU89" s="80">
        <f t="shared" si="27"/>
        <v>0.6875</v>
      </c>
      <c r="AV89" s="21">
        <v>5</v>
      </c>
      <c r="AW89" s="21">
        <v>0</v>
      </c>
      <c r="AX89" s="22">
        <v>0.22222222222222221</v>
      </c>
      <c r="AY89" s="60">
        <v>5</v>
      </c>
      <c r="AZ89" s="87">
        <v>5</v>
      </c>
      <c r="BA89" s="62">
        <v>1</v>
      </c>
      <c r="BB89" s="61">
        <f t="shared" si="28"/>
        <v>0.2</v>
      </c>
      <c r="BC89" s="185"/>
      <c r="BD89" s="185"/>
      <c r="BE89" s="83">
        <v>2</v>
      </c>
      <c r="BF89" s="80">
        <f t="shared" si="29"/>
        <v>0.4</v>
      </c>
      <c r="BG89" s="21">
        <v>2</v>
      </c>
      <c r="BH89" s="21">
        <v>1</v>
      </c>
      <c r="BI89" s="22">
        <f>BH89/BG89</f>
        <v>0.5</v>
      </c>
      <c r="BJ89" s="60">
        <v>3</v>
      </c>
      <c r="BK89" s="87">
        <v>3</v>
      </c>
      <c r="BL89" s="62">
        <v>3</v>
      </c>
      <c r="BM89" s="61">
        <f t="shared" si="30"/>
        <v>1</v>
      </c>
      <c r="BN89" s="185"/>
      <c r="BO89" s="185"/>
      <c r="BP89" s="83">
        <v>3</v>
      </c>
      <c r="BQ89" s="80">
        <f t="shared" si="31"/>
        <v>1</v>
      </c>
      <c r="BR89" s="21">
        <v>1</v>
      </c>
      <c r="BS89" s="21">
        <v>0</v>
      </c>
      <c r="BT89" s="22">
        <f>BS89/BR89</f>
        <v>0</v>
      </c>
      <c r="BU89" s="60">
        <v>1</v>
      </c>
      <c r="BV89" s="87">
        <v>1</v>
      </c>
      <c r="BW89" s="62">
        <v>0</v>
      </c>
      <c r="BX89" s="61">
        <f t="shared" si="32"/>
        <v>0</v>
      </c>
      <c r="BY89" s="185"/>
      <c r="BZ89" s="185"/>
      <c r="CA89" s="83">
        <v>0</v>
      </c>
      <c r="CB89" s="80">
        <f t="shared" si="33"/>
        <v>0</v>
      </c>
      <c r="CC89" s="12"/>
      <c r="CD89" s="12"/>
    </row>
    <row r="90" spans="1:82" ht="45">
      <c r="A90" s="15">
        <v>83</v>
      </c>
      <c r="B90" s="92" t="s">
        <v>89</v>
      </c>
      <c r="C90" s="14"/>
      <c r="D90" s="21">
        <f>O90+Z90+AK90+AV90+BG90+BR90</f>
        <v>623</v>
      </c>
      <c r="E90" s="21">
        <f>P90+AA90+AL90+AW90+BH90+BS90</f>
        <v>293</v>
      </c>
      <c r="F90" s="22">
        <f>E90/D90</f>
        <v>0.47030497592295345</v>
      </c>
      <c r="G90" s="62">
        <f>R90+AC90+AN90+AY90+BJ90+BU90</f>
        <v>624</v>
      </c>
      <c r="H90" s="83">
        <f>S90+AD90+AO90+AZ90+BK90+BV90</f>
        <v>624</v>
      </c>
      <c r="I90" s="60">
        <f>T90+AE90+AP90+BA90++BL90+BW90</f>
        <v>450</v>
      </c>
      <c r="J90" s="59">
        <f t="shared" si="21"/>
        <v>0.72115384615384615</v>
      </c>
      <c r="K90" s="182"/>
      <c r="L90" s="182"/>
      <c r="M90" s="49">
        <f>X90+AI90+AT90+BE90+BP90+CA90</f>
        <v>462</v>
      </c>
      <c r="N90" s="16">
        <f>M90/H90</f>
        <v>0.74038461538461542</v>
      </c>
      <c r="O90" s="21">
        <v>119</v>
      </c>
      <c r="P90" s="21">
        <v>86</v>
      </c>
      <c r="Q90" s="22">
        <f>P90/O90</f>
        <v>0.72268907563025209</v>
      </c>
      <c r="R90" s="60">
        <v>119</v>
      </c>
      <c r="S90" s="87">
        <v>119</v>
      </c>
      <c r="T90" s="62">
        <v>98</v>
      </c>
      <c r="U90" s="61">
        <f t="shared" si="22"/>
        <v>0.82352941176470584</v>
      </c>
      <c r="V90" s="185"/>
      <c r="W90" s="185"/>
      <c r="X90" s="83">
        <v>102</v>
      </c>
      <c r="Y90" s="80">
        <f t="shared" si="23"/>
        <v>0.8571428571428571</v>
      </c>
      <c r="Z90" s="21">
        <v>21</v>
      </c>
      <c r="AA90" s="21">
        <v>20</v>
      </c>
      <c r="AB90" s="22">
        <f>AA90/Z90</f>
        <v>0.95238095238095233</v>
      </c>
      <c r="AC90" s="60">
        <v>21</v>
      </c>
      <c r="AD90" s="87">
        <v>21</v>
      </c>
      <c r="AE90" s="62">
        <v>21</v>
      </c>
      <c r="AF90" s="61">
        <f t="shared" si="24"/>
        <v>1</v>
      </c>
      <c r="AG90" s="185"/>
      <c r="AH90" s="185"/>
      <c r="AI90" s="83">
        <v>21</v>
      </c>
      <c r="AJ90" s="80">
        <f t="shared" si="25"/>
        <v>1</v>
      </c>
      <c r="AK90" s="21">
        <v>440</v>
      </c>
      <c r="AL90" s="21">
        <v>159</v>
      </c>
      <c r="AM90" s="22">
        <f>AL90/AK90</f>
        <v>0.36136363636363639</v>
      </c>
      <c r="AN90" s="60">
        <v>440</v>
      </c>
      <c r="AO90" s="87">
        <v>440</v>
      </c>
      <c r="AP90" s="62">
        <v>299</v>
      </c>
      <c r="AQ90" s="61">
        <f t="shared" si="26"/>
        <v>0.67954545454545456</v>
      </c>
      <c r="AR90" s="185"/>
      <c r="AS90" s="185"/>
      <c r="AT90" s="83">
        <v>305</v>
      </c>
      <c r="AU90" s="80">
        <f t="shared" si="27"/>
        <v>0.69318181818181823</v>
      </c>
      <c r="AV90" s="21">
        <v>26</v>
      </c>
      <c r="AW90" s="21">
        <v>17</v>
      </c>
      <c r="AX90" s="22">
        <f>AW90/AV90</f>
        <v>0.65384615384615385</v>
      </c>
      <c r="AY90" s="60">
        <v>26</v>
      </c>
      <c r="AZ90" s="87">
        <v>26</v>
      </c>
      <c r="BA90" s="62">
        <v>19</v>
      </c>
      <c r="BB90" s="61">
        <f t="shared" si="28"/>
        <v>0.73076923076923073</v>
      </c>
      <c r="BC90" s="185"/>
      <c r="BD90" s="185"/>
      <c r="BE90" s="83">
        <v>20</v>
      </c>
      <c r="BF90" s="80">
        <f t="shared" si="29"/>
        <v>0.76923076923076927</v>
      </c>
      <c r="BG90" s="21">
        <v>0</v>
      </c>
      <c r="BH90" s="21">
        <v>0</v>
      </c>
      <c r="BI90" s="22">
        <v>0</v>
      </c>
      <c r="BJ90" s="60">
        <v>0</v>
      </c>
      <c r="BK90" s="87">
        <v>0</v>
      </c>
      <c r="BL90" s="62">
        <v>0</v>
      </c>
      <c r="BM90" s="61">
        <v>0</v>
      </c>
      <c r="BN90" s="185"/>
      <c r="BO90" s="185"/>
      <c r="BP90" s="83">
        <v>0</v>
      </c>
      <c r="BQ90" s="80">
        <v>0</v>
      </c>
      <c r="BR90" s="21">
        <v>17</v>
      </c>
      <c r="BS90" s="21">
        <v>11</v>
      </c>
      <c r="BT90" s="22">
        <f>BS90/BR90</f>
        <v>0.6470588235294118</v>
      </c>
      <c r="BU90" s="60">
        <v>18</v>
      </c>
      <c r="BV90" s="87">
        <v>18</v>
      </c>
      <c r="BW90" s="62">
        <v>13</v>
      </c>
      <c r="BX90" s="61">
        <f t="shared" si="32"/>
        <v>0.72222222222222221</v>
      </c>
      <c r="BY90" s="185"/>
      <c r="BZ90" s="185"/>
      <c r="CA90" s="83">
        <v>14</v>
      </c>
      <c r="CB90" s="80">
        <f t="shared" si="33"/>
        <v>0.77777777777777779</v>
      </c>
      <c r="CC90" s="12"/>
      <c r="CD90" s="12"/>
    </row>
    <row r="91" spans="1:82" ht="36.75" customHeight="1">
      <c r="A91" s="15">
        <v>84</v>
      </c>
      <c r="B91" s="2" t="s">
        <v>90</v>
      </c>
      <c r="C91" s="4"/>
      <c r="D91" s="11">
        <v>0</v>
      </c>
      <c r="E91" s="11">
        <v>0</v>
      </c>
      <c r="F91" s="11">
        <v>0</v>
      </c>
      <c r="G91" s="84">
        <f t="shared" si="35"/>
        <v>0</v>
      </c>
      <c r="H91" s="84">
        <f t="shared" si="34"/>
        <v>0</v>
      </c>
      <c r="I91" s="50">
        <f>C91+T91+AE91+AP91+BA91++BL91+BW91</f>
        <v>0</v>
      </c>
      <c r="J91" s="96">
        <v>0</v>
      </c>
      <c r="K91" s="182"/>
      <c r="L91" s="182"/>
      <c r="M91" s="50">
        <v>0</v>
      </c>
      <c r="N91" s="96">
        <v>0</v>
      </c>
      <c r="O91" s="11">
        <v>0</v>
      </c>
      <c r="P91" s="11">
        <v>0</v>
      </c>
      <c r="Q91" s="11">
        <v>0</v>
      </c>
      <c r="R91" s="84">
        <v>0</v>
      </c>
      <c r="S91" s="84">
        <v>0</v>
      </c>
      <c r="T91" s="84">
        <v>0</v>
      </c>
      <c r="U91" s="97">
        <v>0</v>
      </c>
      <c r="V91" s="185"/>
      <c r="W91" s="185"/>
      <c r="X91" s="84">
        <v>0</v>
      </c>
      <c r="Y91" s="97">
        <v>0</v>
      </c>
      <c r="Z91" s="11">
        <v>0</v>
      </c>
      <c r="AA91" s="11">
        <v>0</v>
      </c>
      <c r="AB91" s="11">
        <v>0</v>
      </c>
      <c r="AC91" s="84">
        <v>0</v>
      </c>
      <c r="AD91" s="84">
        <v>0</v>
      </c>
      <c r="AE91" s="84">
        <v>0</v>
      </c>
      <c r="AF91" s="97">
        <v>0</v>
      </c>
      <c r="AG91" s="185"/>
      <c r="AH91" s="185"/>
      <c r="AI91" s="84">
        <v>0</v>
      </c>
      <c r="AJ91" s="97">
        <v>0</v>
      </c>
      <c r="AK91" s="11">
        <v>0</v>
      </c>
      <c r="AL91" s="11">
        <v>0</v>
      </c>
      <c r="AM91" s="11">
        <v>0</v>
      </c>
      <c r="AN91" s="84">
        <v>0</v>
      </c>
      <c r="AO91" s="84">
        <v>0</v>
      </c>
      <c r="AP91" s="84">
        <v>0</v>
      </c>
      <c r="AQ91" s="97">
        <v>0</v>
      </c>
      <c r="AR91" s="185"/>
      <c r="AS91" s="185"/>
      <c r="AT91" s="84">
        <v>0</v>
      </c>
      <c r="AU91" s="97">
        <v>0</v>
      </c>
      <c r="AV91" s="11">
        <v>0</v>
      </c>
      <c r="AW91" s="11">
        <v>0</v>
      </c>
      <c r="AX91" s="11">
        <v>0</v>
      </c>
      <c r="AY91" s="84">
        <v>0</v>
      </c>
      <c r="AZ91" s="84">
        <v>0</v>
      </c>
      <c r="BA91" s="84">
        <v>0</v>
      </c>
      <c r="BB91" s="97">
        <v>0</v>
      </c>
      <c r="BC91" s="185"/>
      <c r="BD91" s="185"/>
      <c r="BE91" s="84">
        <v>0</v>
      </c>
      <c r="BF91" s="97">
        <v>0</v>
      </c>
      <c r="BG91" s="11">
        <v>0</v>
      </c>
      <c r="BH91" s="11">
        <v>0</v>
      </c>
      <c r="BI91" s="11">
        <v>0</v>
      </c>
      <c r="BJ91" s="84">
        <v>0</v>
      </c>
      <c r="BK91" s="84">
        <v>0</v>
      </c>
      <c r="BL91" s="84">
        <v>0</v>
      </c>
      <c r="BM91" s="97">
        <v>0</v>
      </c>
      <c r="BN91" s="185"/>
      <c r="BO91" s="185"/>
      <c r="BP91" s="84"/>
      <c r="BQ91" s="97">
        <v>0</v>
      </c>
      <c r="BR91" s="11">
        <v>0</v>
      </c>
      <c r="BS91" s="11">
        <v>0</v>
      </c>
      <c r="BT91" s="11">
        <v>0</v>
      </c>
      <c r="BU91" s="84">
        <v>0</v>
      </c>
      <c r="BV91" s="84">
        <v>0</v>
      </c>
      <c r="BW91" s="84">
        <v>0</v>
      </c>
      <c r="BX91" s="97">
        <v>0</v>
      </c>
      <c r="BY91" s="185"/>
      <c r="BZ91" s="185"/>
      <c r="CA91" s="84">
        <v>0</v>
      </c>
      <c r="CB91" s="97">
        <v>0</v>
      </c>
      <c r="CC91" s="122"/>
      <c r="CD91" s="123"/>
    </row>
    <row r="92" spans="1:82" ht="30">
      <c r="A92" s="15">
        <v>85</v>
      </c>
      <c r="B92" s="92" t="s">
        <v>91</v>
      </c>
      <c r="C92" s="14" t="s">
        <v>149</v>
      </c>
      <c r="D92" s="21">
        <v>98</v>
      </c>
      <c r="E92" s="21">
        <v>58</v>
      </c>
      <c r="F92" s="22">
        <f>E92/D92</f>
        <v>0.59183673469387754</v>
      </c>
      <c r="G92" s="62">
        <f>R92+AC92+AN92+AY92+BJ92+BU92+3</f>
        <v>98</v>
      </c>
      <c r="H92" s="83">
        <f>S92+AD92+AO92+AZ92+BK92+BV92+3</f>
        <v>98</v>
      </c>
      <c r="I92" s="60">
        <f>T92+AE92+AP92+BA92++BL92+BW92+3</f>
        <v>69</v>
      </c>
      <c r="J92" s="59">
        <f t="shared" si="21"/>
        <v>0.70408163265306123</v>
      </c>
      <c r="K92" s="182"/>
      <c r="L92" s="182"/>
      <c r="M92" s="49">
        <f>X92+AI92+AT92+BE92+BP92+CA92+3</f>
        <v>75</v>
      </c>
      <c r="N92" s="16">
        <f>M92/H92</f>
        <v>0.76530612244897955</v>
      </c>
      <c r="O92" s="21">
        <v>22</v>
      </c>
      <c r="P92" s="21">
        <v>13</v>
      </c>
      <c r="Q92" s="22">
        <v>0.59090909090909094</v>
      </c>
      <c r="R92" s="60">
        <v>22</v>
      </c>
      <c r="S92" s="87">
        <v>22</v>
      </c>
      <c r="T92" s="62">
        <v>14</v>
      </c>
      <c r="U92" s="61">
        <f t="shared" si="22"/>
        <v>0.63636363636363635</v>
      </c>
      <c r="V92" s="185"/>
      <c r="W92" s="185"/>
      <c r="X92" s="83">
        <v>15</v>
      </c>
      <c r="Y92" s="80">
        <f t="shared" si="23"/>
        <v>0.68181818181818177</v>
      </c>
      <c r="Z92" s="21">
        <v>10</v>
      </c>
      <c r="AA92" s="21">
        <v>10</v>
      </c>
      <c r="AB92" s="22">
        <v>1</v>
      </c>
      <c r="AC92" s="60">
        <v>10</v>
      </c>
      <c r="AD92" s="87">
        <v>10</v>
      </c>
      <c r="AE92" s="62">
        <v>10</v>
      </c>
      <c r="AF92" s="61">
        <f t="shared" si="24"/>
        <v>1</v>
      </c>
      <c r="AG92" s="185"/>
      <c r="AH92" s="185"/>
      <c r="AI92" s="83">
        <v>10</v>
      </c>
      <c r="AJ92" s="80">
        <f t="shared" si="25"/>
        <v>1</v>
      </c>
      <c r="AK92" s="21">
        <v>16</v>
      </c>
      <c r="AL92" s="21">
        <v>11</v>
      </c>
      <c r="AM92" s="22">
        <v>0.6875</v>
      </c>
      <c r="AN92" s="60">
        <v>16</v>
      </c>
      <c r="AO92" s="87">
        <v>16</v>
      </c>
      <c r="AP92" s="62">
        <v>12</v>
      </c>
      <c r="AQ92" s="61">
        <f t="shared" si="26"/>
        <v>0.75</v>
      </c>
      <c r="AR92" s="185"/>
      <c r="AS92" s="185"/>
      <c r="AT92" s="83">
        <v>12</v>
      </c>
      <c r="AU92" s="80">
        <f t="shared" si="27"/>
        <v>0.75</v>
      </c>
      <c r="AV92" s="21">
        <v>28</v>
      </c>
      <c r="AW92" s="21">
        <v>11</v>
      </c>
      <c r="AX92" s="22">
        <v>0.39285714285714285</v>
      </c>
      <c r="AY92" s="60">
        <v>28</v>
      </c>
      <c r="AZ92" s="87">
        <v>28</v>
      </c>
      <c r="BA92" s="62">
        <v>17</v>
      </c>
      <c r="BB92" s="61">
        <f t="shared" si="28"/>
        <v>0.6071428571428571</v>
      </c>
      <c r="BC92" s="185"/>
      <c r="BD92" s="185"/>
      <c r="BE92" s="83">
        <v>20</v>
      </c>
      <c r="BF92" s="80">
        <f t="shared" si="29"/>
        <v>0.7142857142857143</v>
      </c>
      <c r="BG92" s="21">
        <v>3</v>
      </c>
      <c r="BH92" s="21">
        <v>2</v>
      </c>
      <c r="BI92" s="22">
        <v>0.66666666666666663</v>
      </c>
      <c r="BJ92" s="60">
        <v>3</v>
      </c>
      <c r="BK92" s="87">
        <v>3</v>
      </c>
      <c r="BL92" s="62">
        <v>2</v>
      </c>
      <c r="BM92" s="61">
        <f t="shared" si="30"/>
        <v>0.66666666666666663</v>
      </c>
      <c r="BN92" s="185"/>
      <c r="BO92" s="185"/>
      <c r="BP92" s="83">
        <v>2</v>
      </c>
      <c r="BQ92" s="80">
        <f t="shared" si="31"/>
        <v>0.66666666666666663</v>
      </c>
      <c r="BR92" s="21">
        <v>16</v>
      </c>
      <c r="BS92" s="21">
        <v>8</v>
      </c>
      <c r="BT92" s="22">
        <v>0.5</v>
      </c>
      <c r="BU92" s="60">
        <v>16</v>
      </c>
      <c r="BV92" s="87">
        <v>16</v>
      </c>
      <c r="BW92" s="62">
        <v>11</v>
      </c>
      <c r="BX92" s="61">
        <f t="shared" si="32"/>
        <v>0.6875</v>
      </c>
      <c r="BY92" s="185"/>
      <c r="BZ92" s="185"/>
      <c r="CA92" s="83">
        <v>13</v>
      </c>
      <c r="CB92" s="80">
        <f t="shared" si="33"/>
        <v>0.8125</v>
      </c>
      <c r="CC92" s="12"/>
      <c r="CD92" s="12"/>
    </row>
    <row r="93" spans="1:82">
      <c r="A93" s="159" t="s">
        <v>99</v>
      </c>
      <c r="B93" s="160"/>
      <c r="C93" s="98"/>
      <c r="D93" s="99">
        <f>SUM(D8:D92)</f>
        <v>36601</v>
      </c>
      <c r="E93" s="99">
        <f>SUM(E8:E92)</f>
        <v>21153</v>
      </c>
      <c r="F93" s="100">
        <f>E93/D93</f>
        <v>0.57793502909756567</v>
      </c>
      <c r="G93" s="99">
        <f>SUM(G8:G92)</f>
        <v>38722</v>
      </c>
      <c r="H93" s="99">
        <f>SUM(H8:H92)</f>
        <v>39620</v>
      </c>
      <c r="I93" s="99">
        <f>SUM(I8:I92)</f>
        <v>24703</v>
      </c>
      <c r="J93" s="100">
        <f t="shared" si="21"/>
        <v>0.63795775011621303</v>
      </c>
      <c r="K93" s="100"/>
      <c r="L93" s="100"/>
      <c r="M93" s="101">
        <f>SUM(M8:M92)</f>
        <v>25033</v>
      </c>
      <c r="N93" s="100">
        <f>M93/H93</f>
        <v>0.63182735991923267</v>
      </c>
      <c r="O93" s="99">
        <f>SUM(O8:O92)</f>
        <v>5454</v>
      </c>
      <c r="P93" s="99">
        <f>SUM(P8:P92)</f>
        <v>3863</v>
      </c>
      <c r="Q93" s="100">
        <f>P93/O93</f>
        <v>0.70828749541620828</v>
      </c>
      <c r="R93" s="99">
        <f>SUM(R8:R92)</f>
        <v>5629</v>
      </c>
      <c r="S93" s="99">
        <f>SUM(S8:S92)</f>
        <v>5795</v>
      </c>
      <c r="T93" s="99">
        <f>SUM(T8:T92)</f>
        <v>4439</v>
      </c>
      <c r="U93" s="102">
        <f>T93/R93</f>
        <v>0.78859477704743297</v>
      </c>
      <c r="V93" s="102"/>
      <c r="W93" s="102"/>
      <c r="X93" s="99">
        <f>SUM(X8:X92)</f>
        <v>4683</v>
      </c>
      <c r="Y93" s="102">
        <f>X93/S93</f>
        <v>0.80811044003451249</v>
      </c>
      <c r="Z93" s="99">
        <f>SUM(Z8:Z92)</f>
        <v>1649</v>
      </c>
      <c r="AA93" s="99">
        <f>SUM(AA8:AA92)</f>
        <v>1019</v>
      </c>
      <c r="AB93" s="100">
        <f>AA93/Z93</f>
        <v>0.61795027289266224</v>
      </c>
      <c r="AC93" s="103">
        <f>SUM(AC8:AC92)</f>
        <v>1745</v>
      </c>
      <c r="AD93" s="103">
        <f>SUM(AD8:AD92)</f>
        <v>1755</v>
      </c>
      <c r="AE93" s="103">
        <f>SUM(AE8:AE92)</f>
        <v>1251</v>
      </c>
      <c r="AF93" s="102">
        <f>AE93/AC93</f>
        <v>0.71690544412607449</v>
      </c>
      <c r="AG93" s="102"/>
      <c r="AH93" s="102"/>
      <c r="AI93" s="103">
        <f>SUM(AI8:AI92)</f>
        <v>1342</v>
      </c>
      <c r="AJ93" s="102">
        <f t="shared" si="25"/>
        <v>0.76467236467236466</v>
      </c>
      <c r="AK93" s="99">
        <f>SUM(AK8:AK92)</f>
        <v>10342</v>
      </c>
      <c r="AL93" s="99">
        <f>SUM(AL8:AL92)</f>
        <v>5520</v>
      </c>
      <c r="AM93" s="100">
        <f>AL93/AK93</f>
        <v>0.53374589054341515</v>
      </c>
      <c r="AN93" s="99">
        <f>SUM(AN8:AN92)</f>
        <v>10812</v>
      </c>
      <c r="AO93" s="99">
        <f>SUM(AO8:AO92)</f>
        <v>11315</v>
      </c>
      <c r="AP93" s="99">
        <f>SUM(AP8:AP92)</f>
        <v>6700</v>
      </c>
      <c r="AQ93" s="102">
        <f t="shared" si="26"/>
        <v>0.61968183499815022</v>
      </c>
      <c r="AR93" s="102"/>
      <c r="AS93" s="102"/>
      <c r="AT93" s="99">
        <f>SUM(AT8:AT92)</f>
        <v>7253</v>
      </c>
      <c r="AU93" s="102">
        <f t="shared" si="27"/>
        <v>0.64100751215201057</v>
      </c>
      <c r="AV93" s="99">
        <f>SUM(AV8:AV92)</f>
        <v>8646</v>
      </c>
      <c r="AW93" s="99">
        <f>SUM(AW8:AW92)</f>
        <v>4452</v>
      </c>
      <c r="AX93" s="100">
        <f>AW93/AV93</f>
        <v>0.51492019430950731</v>
      </c>
      <c r="AY93" s="99">
        <f>SUM(AY8:AY92)</f>
        <v>8887</v>
      </c>
      <c r="AZ93" s="99">
        <f>SUM(AZ8:AZ92)</f>
        <v>9056</v>
      </c>
      <c r="BA93" s="99">
        <f>SUM(BA8:BA92)</f>
        <v>5232</v>
      </c>
      <c r="BB93" s="102">
        <f t="shared" si="28"/>
        <v>0.58872510408461798</v>
      </c>
      <c r="BC93" s="102"/>
      <c r="BD93" s="102"/>
      <c r="BE93" s="99">
        <f>SUM(BE8:BE92)</f>
        <v>5524</v>
      </c>
      <c r="BF93" s="102">
        <f t="shared" si="29"/>
        <v>0.60998233215547704</v>
      </c>
      <c r="BG93" s="99">
        <f>SUM(BG8:BG92)</f>
        <v>1493</v>
      </c>
      <c r="BH93" s="99">
        <f>SUM(BH8:BH92)</f>
        <v>957</v>
      </c>
      <c r="BI93" s="100">
        <f>BH93/BG93</f>
        <v>0.64099129269926325</v>
      </c>
      <c r="BJ93" s="99">
        <f>SUM(BJ8:BJ92)</f>
        <v>1404</v>
      </c>
      <c r="BK93" s="99">
        <f>SUM(BK8:BK92)</f>
        <v>1405</v>
      </c>
      <c r="BL93" s="99">
        <f>SUM(BL8:BL92)</f>
        <v>940</v>
      </c>
      <c r="BM93" s="102">
        <f t="shared" si="30"/>
        <v>0.66951566951566954</v>
      </c>
      <c r="BN93" s="102"/>
      <c r="BO93" s="102"/>
      <c r="BP93" s="99">
        <f>SUM(BP8:BP92)</f>
        <v>1025</v>
      </c>
      <c r="BQ93" s="102">
        <f t="shared" si="31"/>
        <v>0.72953736654804269</v>
      </c>
      <c r="BR93" s="99">
        <f>SUM(BR8:BR92)</f>
        <v>3453</v>
      </c>
      <c r="BS93" s="99">
        <f>SUM(BS8:BS92)</f>
        <v>2004</v>
      </c>
      <c r="BT93" s="100">
        <f>BS93/BR93</f>
        <v>0.58036490008688102</v>
      </c>
      <c r="BU93" s="99">
        <f>SUM(BU8:BU92)</f>
        <v>3604</v>
      </c>
      <c r="BV93" s="99">
        <f>SUM(BV8:BV92)</f>
        <v>3662</v>
      </c>
      <c r="BW93" s="99">
        <f>SUM(BW8:BW92)</f>
        <v>2364</v>
      </c>
      <c r="BX93" s="102">
        <f t="shared" si="32"/>
        <v>0.65593784683684797</v>
      </c>
      <c r="BY93" s="102"/>
      <c r="BZ93" s="102"/>
      <c r="CA93" s="99">
        <f>SUM(CA8:CA92)</f>
        <v>2473</v>
      </c>
      <c r="CB93" s="102">
        <f t="shared" si="33"/>
        <v>0.67531403604587659</v>
      </c>
      <c r="CC93" s="98"/>
      <c r="CD93" s="98"/>
    </row>
    <row r="95" spans="1:82">
      <c r="E95" s="8"/>
      <c r="F95" s="9"/>
      <c r="G95" s="9"/>
      <c r="H95" s="85"/>
      <c r="I95" s="9"/>
      <c r="J95" s="9"/>
      <c r="K95" s="9"/>
      <c r="L95" s="9"/>
      <c r="M95" s="9"/>
      <c r="N95" s="9"/>
    </row>
    <row r="96" spans="1:82">
      <c r="Z96" s="8"/>
    </row>
    <row r="97" spans="1:79">
      <c r="A97" s="27"/>
      <c r="B97" s="27"/>
      <c r="C97" s="27"/>
      <c r="D97" s="27"/>
      <c r="E97" s="27"/>
      <c r="F97" s="27"/>
      <c r="G97" s="27"/>
      <c r="H97" s="66"/>
      <c r="I97" s="27"/>
      <c r="J97" s="73"/>
      <c r="K97" s="73"/>
      <c r="L97" s="73"/>
      <c r="M97" s="27"/>
      <c r="N97" s="27"/>
      <c r="O97" s="27"/>
      <c r="P97" s="27"/>
      <c r="Q97" s="27"/>
      <c r="R97" s="66"/>
      <c r="S97" s="66"/>
      <c r="T97" s="66"/>
      <c r="U97" s="73"/>
      <c r="V97" s="73"/>
      <c r="W97" s="73"/>
      <c r="X97" s="66"/>
      <c r="Y97" s="27"/>
      <c r="Z97" s="27"/>
      <c r="AA97" s="27"/>
    </row>
    <row r="98" spans="1:79">
      <c r="A98" s="27"/>
      <c r="B98" s="27"/>
      <c r="C98" s="27"/>
      <c r="D98" s="27"/>
      <c r="E98" s="27"/>
      <c r="F98" s="27"/>
      <c r="G98" s="27"/>
      <c r="H98" s="66"/>
      <c r="I98" s="27"/>
      <c r="J98" s="73"/>
      <c r="K98" s="73"/>
      <c r="L98" s="73"/>
      <c r="M98" s="27"/>
      <c r="N98" s="27"/>
      <c r="O98" s="27"/>
      <c r="P98" s="27"/>
      <c r="Q98" s="27"/>
      <c r="R98" s="66"/>
      <c r="S98" s="66"/>
      <c r="T98" s="66"/>
      <c r="U98" s="73"/>
      <c r="V98" s="73"/>
      <c r="W98" s="73"/>
      <c r="X98" s="66"/>
      <c r="Y98" s="27"/>
      <c r="Z98" s="27"/>
      <c r="AA98" s="27"/>
    </row>
    <row r="99" spans="1:79" ht="23.25">
      <c r="A99" s="27"/>
      <c r="B99" s="27"/>
      <c r="C99" s="27"/>
      <c r="D99" s="27"/>
      <c r="E99" s="27"/>
      <c r="F99" s="27"/>
      <c r="G99" s="27"/>
      <c r="H99" s="66"/>
      <c r="I99" s="27"/>
      <c r="J99" s="73"/>
      <c r="K99" s="73"/>
      <c r="L99" s="73"/>
      <c r="M99" s="27"/>
      <c r="N99" s="27"/>
      <c r="O99" s="27"/>
      <c r="P99" s="27"/>
      <c r="Q99" s="27"/>
      <c r="R99" s="66"/>
      <c r="S99" s="66"/>
      <c r="T99" s="66"/>
      <c r="U99" s="73"/>
      <c r="V99" s="73"/>
      <c r="W99" s="73"/>
      <c r="X99" s="66"/>
      <c r="Y99" s="27"/>
      <c r="Z99" s="28"/>
      <c r="AA99" s="27"/>
    </row>
    <row r="100" spans="1:79">
      <c r="A100" s="27"/>
      <c r="B100" s="27"/>
      <c r="C100" s="27"/>
      <c r="D100" s="27"/>
      <c r="E100" s="27"/>
      <c r="F100" s="27"/>
      <c r="G100" s="27"/>
      <c r="H100" s="66"/>
      <c r="I100" s="27"/>
      <c r="J100" s="73"/>
      <c r="K100" s="73"/>
      <c r="L100" s="73"/>
      <c r="M100" s="27"/>
      <c r="N100" s="27"/>
      <c r="O100" s="27"/>
      <c r="P100" s="27"/>
      <c r="Q100" s="27"/>
      <c r="R100" s="66"/>
      <c r="S100" s="66"/>
      <c r="T100" s="66"/>
      <c r="U100" s="73"/>
      <c r="V100" s="73"/>
      <c r="W100" s="73"/>
      <c r="X100" s="66"/>
      <c r="Y100" s="27"/>
      <c r="Z100" s="27"/>
      <c r="AA100" s="27"/>
    </row>
    <row r="101" spans="1:79">
      <c r="A101" s="27"/>
      <c r="B101" s="27"/>
      <c r="C101" s="27"/>
      <c r="D101" s="27"/>
      <c r="E101" s="27"/>
      <c r="F101" s="27"/>
      <c r="G101" s="27"/>
      <c r="H101" s="66"/>
      <c r="I101" s="27"/>
      <c r="J101" s="73"/>
      <c r="K101" s="73"/>
      <c r="L101" s="73"/>
      <c r="M101" s="27"/>
      <c r="N101" s="27"/>
      <c r="O101" s="27"/>
      <c r="P101" s="27"/>
      <c r="Q101" s="27"/>
      <c r="R101" s="66"/>
      <c r="S101" s="66"/>
      <c r="T101" s="66"/>
      <c r="U101" s="73"/>
      <c r="V101" s="73"/>
      <c r="W101" s="73"/>
      <c r="X101" s="66"/>
      <c r="Y101" s="27"/>
      <c r="Z101" s="27"/>
      <c r="AA101" s="27"/>
    </row>
    <row r="102" spans="1:79">
      <c r="A102" s="27"/>
      <c r="B102" s="27"/>
      <c r="C102" s="27"/>
      <c r="D102" s="27"/>
      <c r="E102" s="27"/>
      <c r="F102" s="27"/>
      <c r="G102" s="27"/>
      <c r="H102" s="66"/>
      <c r="I102" s="27"/>
      <c r="J102" s="73"/>
      <c r="K102" s="73"/>
      <c r="L102" s="73"/>
      <c r="M102" s="27"/>
      <c r="N102" s="27"/>
      <c r="O102" s="27"/>
      <c r="P102" s="27"/>
      <c r="Q102" s="27"/>
      <c r="R102" s="66"/>
      <c r="S102" s="66"/>
      <c r="T102" s="66"/>
      <c r="U102" s="73"/>
      <c r="V102" s="73"/>
      <c r="W102" s="73"/>
      <c r="X102" s="66"/>
      <c r="Y102" s="27"/>
      <c r="Z102" s="27"/>
      <c r="AA102" s="27"/>
    </row>
    <row r="103" spans="1:79">
      <c r="A103" s="27"/>
      <c r="B103" s="27"/>
      <c r="C103" s="27"/>
      <c r="D103" s="27"/>
      <c r="E103" s="27"/>
      <c r="F103" s="27"/>
      <c r="G103" s="27"/>
      <c r="H103" s="66"/>
      <c r="I103" s="27"/>
      <c r="J103" s="73"/>
      <c r="K103" s="73"/>
      <c r="L103" s="73"/>
      <c r="M103" s="27"/>
      <c r="N103" s="27"/>
      <c r="O103" s="27"/>
      <c r="P103" s="27"/>
      <c r="Q103" s="27"/>
      <c r="R103" s="66"/>
      <c r="S103" s="66"/>
      <c r="T103" s="66"/>
      <c r="U103" s="73"/>
      <c r="V103" s="73"/>
      <c r="W103" s="73"/>
      <c r="X103" s="66"/>
      <c r="Y103" s="27"/>
      <c r="Z103" s="27"/>
      <c r="AA103" s="27"/>
    </row>
    <row r="104" spans="1:79">
      <c r="A104" s="27"/>
      <c r="B104" s="27"/>
      <c r="C104" s="27"/>
      <c r="D104" s="27"/>
      <c r="E104" s="27"/>
      <c r="F104" s="27"/>
      <c r="G104" s="27"/>
      <c r="H104" s="66"/>
      <c r="I104" s="27"/>
      <c r="J104" s="73"/>
      <c r="K104" s="73"/>
      <c r="L104" s="73"/>
      <c r="M104" s="27"/>
      <c r="N104" s="27"/>
      <c r="O104" s="27"/>
      <c r="P104" s="27"/>
      <c r="Q104" s="27"/>
      <c r="R104" s="66"/>
      <c r="S104" s="66"/>
      <c r="T104" s="66"/>
      <c r="U104" s="73"/>
      <c r="V104" s="73"/>
      <c r="W104" s="73"/>
      <c r="X104" s="66"/>
      <c r="Y104" s="27"/>
      <c r="Z104" s="27"/>
      <c r="AA104" s="27"/>
    </row>
    <row r="105" spans="1:79">
      <c r="A105" s="27"/>
      <c r="B105" s="2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27"/>
      <c r="R105" s="66"/>
      <c r="S105" s="66"/>
      <c r="T105" s="66"/>
      <c r="U105" s="73"/>
      <c r="V105" s="73"/>
      <c r="W105" s="73"/>
      <c r="X105" s="66"/>
      <c r="Y105" s="27"/>
      <c r="Z105" s="27"/>
      <c r="AA105" s="27"/>
    </row>
    <row r="106" spans="1:79" s="8" customFormat="1">
      <c r="A106" s="27"/>
      <c r="B106" s="27"/>
      <c r="C106" s="25"/>
      <c r="D106" s="26"/>
      <c r="E106" s="27"/>
      <c r="F106" s="27"/>
      <c r="G106" s="27"/>
      <c r="H106" s="66"/>
      <c r="I106" s="27"/>
      <c r="J106" s="73"/>
      <c r="K106" s="73"/>
      <c r="L106" s="73"/>
      <c r="M106" s="27"/>
      <c r="N106" s="27"/>
      <c r="O106" s="27"/>
      <c r="P106" s="27"/>
      <c r="Q106" s="27"/>
      <c r="R106" s="66"/>
      <c r="S106" s="66"/>
      <c r="T106" s="66"/>
      <c r="U106" s="73"/>
      <c r="V106" s="73"/>
      <c r="W106" s="73"/>
      <c r="X106" s="66"/>
      <c r="Y106" s="27"/>
      <c r="Z106" s="27"/>
      <c r="AA106" s="27"/>
      <c r="AC106" s="68"/>
      <c r="AD106" s="68"/>
      <c r="AE106" s="68"/>
      <c r="AF106" s="72"/>
      <c r="AG106" s="72"/>
      <c r="AH106" s="72"/>
      <c r="AI106" s="68"/>
      <c r="AN106" s="68"/>
      <c r="AO106" s="68"/>
      <c r="AP106" s="68"/>
      <c r="AQ106" s="72"/>
      <c r="AR106" s="72"/>
      <c r="AS106" s="72"/>
      <c r="AT106" s="68"/>
      <c r="AY106" s="68"/>
      <c r="AZ106" s="68"/>
      <c r="BA106" s="68"/>
      <c r="BB106" s="72"/>
      <c r="BC106" s="72"/>
      <c r="BD106" s="72"/>
      <c r="BE106" s="68"/>
      <c r="BJ106" s="68"/>
      <c r="BK106" s="68"/>
      <c r="BL106" s="68"/>
      <c r="BM106" s="72"/>
      <c r="BN106" s="72"/>
      <c r="BO106" s="72"/>
      <c r="BP106" s="68"/>
      <c r="BU106" s="68"/>
      <c r="BV106" s="68"/>
      <c r="BW106" s="68"/>
      <c r="BX106" s="72"/>
      <c r="BY106" s="72"/>
      <c r="BZ106" s="72"/>
      <c r="CA106" s="68"/>
    </row>
    <row r="107" spans="1:79">
      <c r="A107" s="147"/>
      <c r="B107" s="147"/>
      <c r="C107" s="29"/>
      <c r="D107" s="29"/>
      <c r="E107" s="29"/>
      <c r="F107" s="27"/>
      <c r="G107" s="27"/>
      <c r="H107" s="66"/>
      <c r="I107" s="27"/>
      <c r="J107" s="73"/>
      <c r="K107" s="73"/>
      <c r="L107" s="73"/>
      <c r="M107" s="27"/>
      <c r="N107" s="27"/>
      <c r="O107" s="29"/>
      <c r="P107" s="27"/>
      <c r="Q107" s="27"/>
      <c r="R107" s="66"/>
      <c r="S107" s="66"/>
      <c r="T107" s="66"/>
      <c r="U107" s="73"/>
      <c r="V107" s="73"/>
      <c r="W107" s="73"/>
      <c r="X107" s="66"/>
      <c r="Y107" s="27"/>
      <c r="Z107" s="27"/>
      <c r="AA107" s="27"/>
    </row>
    <row r="108" spans="1:79">
      <c r="A108" s="147"/>
      <c r="B108" s="147"/>
      <c r="C108" s="29"/>
      <c r="D108" s="29"/>
      <c r="E108" s="29"/>
      <c r="F108" s="27"/>
      <c r="G108" s="27"/>
      <c r="H108" s="66"/>
      <c r="I108" s="27"/>
      <c r="J108" s="73"/>
      <c r="K108" s="73"/>
      <c r="L108" s="73"/>
      <c r="M108" s="27"/>
      <c r="N108" s="27"/>
      <c r="O108" s="29"/>
      <c r="P108" s="27"/>
      <c r="Q108" s="27"/>
      <c r="R108" s="66"/>
      <c r="S108" s="66"/>
      <c r="T108" s="66"/>
      <c r="U108" s="73"/>
      <c r="V108" s="73"/>
      <c r="W108" s="73"/>
      <c r="X108" s="66"/>
      <c r="Y108" s="27"/>
      <c r="Z108" s="27"/>
      <c r="AA108" s="27"/>
    </row>
    <row r="109" spans="1:79">
      <c r="A109" s="147"/>
      <c r="B109" s="147"/>
      <c r="C109" s="30"/>
      <c r="D109" s="30"/>
      <c r="E109" s="30"/>
      <c r="F109" s="30"/>
      <c r="G109" s="30"/>
      <c r="H109" s="86"/>
      <c r="I109" s="30"/>
      <c r="J109" s="74"/>
      <c r="K109" s="74"/>
      <c r="L109" s="74"/>
      <c r="M109" s="30"/>
      <c r="N109" s="30"/>
      <c r="O109" s="30"/>
      <c r="P109" s="30"/>
      <c r="Q109" s="27"/>
      <c r="R109" s="66"/>
      <c r="S109" s="66"/>
      <c r="T109" s="66"/>
      <c r="U109" s="73"/>
      <c r="V109" s="73"/>
      <c r="W109" s="73"/>
      <c r="X109" s="66"/>
      <c r="Y109" s="27"/>
      <c r="Z109" s="27"/>
      <c r="AA109" s="27"/>
    </row>
    <row r="110" spans="1:79">
      <c r="A110" s="27"/>
      <c r="B110" s="27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27"/>
      <c r="R110" s="66"/>
      <c r="S110" s="66"/>
      <c r="T110" s="66"/>
      <c r="U110" s="73"/>
      <c r="V110" s="73"/>
      <c r="W110" s="73"/>
      <c r="X110" s="66"/>
      <c r="Y110" s="27"/>
      <c r="Z110" s="27"/>
      <c r="AA110" s="27"/>
    </row>
    <row r="111" spans="1:79">
      <c r="A111" s="27"/>
      <c r="B111" s="27"/>
      <c r="C111" s="29"/>
      <c r="D111" s="29"/>
      <c r="E111" s="29"/>
      <c r="F111" s="27"/>
      <c r="G111" s="27"/>
      <c r="H111" s="66"/>
      <c r="I111" s="27"/>
      <c r="J111" s="73"/>
      <c r="K111" s="73"/>
      <c r="L111" s="73"/>
      <c r="M111" s="27"/>
      <c r="N111" s="27"/>
      <c r="O111" s="29"/>
      <c r="P111" s="27"/>
      <c r="Q111" s="27"/>
      <c r="R111" s="66"/>
      <c r="S111" s="66"/>
      <c r="T111" s="66"/>
      <c r="U111" s="73"/>
      <c r="V111" s="73"/>
      <c r="W111" s="73"/>
      <c r="X111" s="66"/>
      <c r="Y111" s="27"/>
      <c r="Z111" s="27"/>
      <c r="AA111" s="27"/>
    </row>
    <row r="112" spans="1:79">
      <c r="A112" s="27"/>
      <c r="B112" s="27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27"/>
      <c r="R112" s="66"/>
      <c r="S112" s="66"/>
      <c r="T112" s="66"/>
      <c r="U112" s="73"/>
      <c r="V112" s="73"/>
      <c r="W112" s="73"/>
      <c r="X112" s="66"/>
      <c r="Y112" s="27"/>
      <c r="Z112" s="27"/>
      <c r="AA112" s="27"/>
    </row>
    <row r="113" spans="1:27">
      <c r="A113" s="27"/>
      <c r="B113" s="27"/>
      <c r="C113" s="29"/>
      <c r="D113" s="29"/>
      <c r="E113" s="29"/>
      <c r="F113" s="27"/>
      <c r="G113" s="27"/>
      <c r="H113" s="66"/>
      <c r="I113" s="27"/>
      <c r="J113" s="73"/>
      <c r="K113" s="73"/>
      <c r="L113" s="73"/>
      <c r="M113" s="27"/>
      <c r="N113" s="27"/>
      <c r="O113" s="29"/>
      <c r="P113" s="27"/>
      <c r="Q113" s="27"/>
      <c r="R113" s="66"/>
      <c r="S113" s="66"/>
      <c r="T113" s="66"/>
      <c r="U113" s="73"/>
      <c r="V113" s="73"/>
      <c r="W113" s="73"/>
      <c r="X113" s="66"/>
      <c r="Y113" s="27"/>
      <c r="Z113" s="27"/>
      <c r="AA113" s="27"/>
    </row>
    <row r="114" spans="1:27">
      <c r="A114" s="27"/>
      <c r="B114" s="27"/>
      <c r="C114" s="29"/>
      <c r="D114" s="29"/>
      <c r="E114" s="29"/>
      <c r="F114" s="27"/>
      <c r="G114" s="27"/>
      <c r="H114" s="66"/>
      <c r="I114" s="27"/>
      <c r="J114" s="73"/>
      <c r="K114" s="73"/>
      <c r="L114" s="73"/>
      <c r="M114" s="27"/>
      <c r="N114" s="27"/>
      <c r="O114" s="29"/>
      <c r="P114" s="27"/>
      <c r="Q114" s="27"/>
      <c r="R114" s="66"/>
      <c r="S114" s="66"/>
      <c r="T114" s="66"/>
      <c r="U114" s="73"/>
      <c r="V114" s="73"/>
      <c r="W114" s="73"/>
      <c r="X114" s="66"/>
      <c r="Y114" s="27"/>
      <c r="Z114" s="27"/>
      <c r="AA114" s="27"/>
    </row>
  </sheetData>
  <autoFilter ref="A7:CB93">
    <filterColumn colId="6"/>
    <filterColumn colId="7"/>
    <filterColumn colId="10"/>
    <filterColumn colId="11"/>
    <filterColumn colId="17"/>
    <filterColumn colId="18"/>
    <filterColumn colId="20"/>
    <filterColumn colId="21"/>
    <filterColumn colId="22"/>
    <filterColumn colId="24"/>
    <filterColumn colId="28"/>
    <filterColumn colId="29"/>
    <filterColumn colId="31"/>
    <filterColumn colId="32"/>
    <filterColumn colId="33"/>
    <filterColumn colId="35"/>
    <filterColumn colId="39"/>
    <filterColumn colId="40"/>
    <filterColumn colId="42"/>
    <filterColumn colId="43"/>
    <filterColumn colId="44"/>
    <filterColumn colId="46"/>
    <filterColumn colId="50"/>
    <filterColumn colId="51"/>
    <filterColumn colId="53"/>
    <filterColumn colId="54"/>
    <filterColumn colId="55"/>
    <filterColumn colId="57"/>
    <filterColumn colId="61"/>
    <filterColumn colId="62"/>
    <filterColumn colId="64"/>
    <filterColumn colId="65"/>
    <filterColumn colId="66"/>
    <filterColumn colId="68"/>
    <filterColumn colId="72"/>
    <filterColumn colId="73"/>
    <filterColumn colId="75"/>
    <filterColumn colId="76"/>
    <filterColumn colId="77"/>
    <filterColumn colId="78"/>
  </autoFilter>
  <mergeCells count="101">
    <mergeCell ref="CC25:CD25"/>
    <mergeCell ref="CC12:CD12"/>
    <mergeCell ref="CC4:CD6"/>
    <mergeCell ref="CC7:CD7"/>
    <mergeCell ref="CC24:CD24"/>
    <mergeCell ref="CC8:CD8"/>
    <mergeCell ref="CC16:CD16"/>
    <mergeCell ref="CC19:CD19"/>
    <mergeCell ref="CC15:CD15"/>
    <mergeCell ref="CC18:CD18"/>
    <mergeCell ref="CC17:CD17"/>
    <mergeCell ref="CC21:CD21"/>
    <mergeCell ref="CC23:CD23"/>
    <mergeCell ref="CC20:CD20"/>
    <mergeCell ref="CC22:CD22"/>
    <mergeCell ref="CC13:CD13"/>
    <mergeCell ref="C110:P110"/>
    <mergeCell ref="C112:P112"/>
    <mergeCell ref="D5:D6"/>
    <mergeCell ref="C4:C6"/>
    <mergeCell ref="S5:S6"/>
    <mergeCell ref="O4:Y4"/>
    <mergeCell ref="A1:BT1"/>
    <mergeCell ref="O3:BT3"/>
    <mergeCell ref="A93:B93"/>
    <mergeCell ref="D4:N4"/>
    <mergeCell ref="BR4:CB4"/>
    <mergeCell ref="Z5:Z6"/>
    <mergeCell ref="BG5:BG6"/>
    <mergeCell ref="BR5:BR6"/>
    <mergeCell ref="AK5:AK6"/>
    <mergeCell ref="AV5:AV6"/>
    <mergeCell ref="R5:R6"/>
    <mergeCell ref="A4:A6"/>
    <mergeCell ref="BU5:BU6"/>
    <mergeCell ref="AC5:AC6"/>
    <mergeCell ref="BV5:BV6"/>
    <mergeCell ref="AD5:AD6"/>
    <mergeCell ref="BG4:BQ4"/>
    <mergeCell ref="A107:A109"/>
    <mergeCell ref="B107:B109"/>
    <mergeCell ref="C105:P105"/>
    <mergeCell ref="O5:O6"/>
    <mergeCell ref="G5:G6"/>
    <mergeCell ref="H5:H6"/>
    <mergeCell ref="B4:B6"/>
    <mergeCell ref="AY5:AY6"/>
    <mergeCell ref="AZ5:AZ6"/>
    <mergeCell ref="BJ5:BJ6"/>
    <mergeCell ref="BK5:BK6"/>
    <mergeCell ref="Z4:AJ4"/>
    <mergeCell ref="AN5:AN6"/>
    <mergeCell ref="AO5:AO6"/>
    <mergeCell ref="AK4:AU4"/>
    <mergeCell ref="AV4:BF4"/>
    <mergeCell ref="CC81:CD81"/>
    <mergeCell ref="CC76:CD76"/>
    <mergeCell ref="CC75:CD75"/>
    <mergeCell ref="CC77:CD77"/>
    <mergeCell ref="CC74:CD74"/>
    <mergeCell ref="CC72:CD72"/>
    <mergeCell ref="CC79:CD79"/>
    <mergeCell ref="CC28:CD28"/>
    <mergeCell ref="CC29:CD29"/>
    <mergeCell ref="CC34:CD34"/>
    <mergeCell ref="CC39:CD39"/>
    <mergeCell ref="CC65:CD65"/>
    <mergeCell ref="CC41:CD41"/>
    <mergeCell ref="CC43:CD43"/>
    <mergeCell ref="CC44:CD44"/>
    <mergeCell ref="CC48:CD48"/>
    <mergeCell ref="CC47:CD47"/>
    <mergeCell ref="CC62:CD62"/>
    <mergeCell ref="CC91:CD91"/>
    <mergeCell ref="CC57:CD57"/>
    <mergeCell ref="CC30:CD30"/>
    <mergeCell ref="CC88:CD88"/>
    <mergeCell ref="CC85:CD85"/>
    <mergeCell ref="CC49:CD49"/>
    <mergeCell ref="CC51:CD51"/>
    <mergeCell ref="CC52:CD52"/>
    <mergeCell ref="CC53:CD53"/>
    <mergeCell ref="CC33:CD33"/>
    <mergeCell ref="CC55:CD55"/>
    <mergeCell ref="CC58:CD58"/>
    <mergeCell ref="CC59:CD59"/>
    <mergeCell ref="CC78:CD78"/>
    <mergeCell ref="CC45:CD45"/>
    <mergeCell ref="CC86:CD86"/>
    <mergeCell ref="CC70:CD70"/>
    <mergeCell ref="CC67:CD67"/>
    <mergeCell ref="CC68:CD68"/>
    <mergeCell ref="CC69:CD69"/>
    <mergeCell ref="CC84:CD84"/>
    <mergeCell ref="CC82:CD82"/>
    <mergeCell ref="CC80:CD80"/>
    <mergeCell ref="CC50:CD50"/>
    <mergeCell ref="CC54:CD54"/>
    <mergeCell ref="CC35:CD35"/>
    <mergeCell ref="CC63:CD63"/>
    <mergeCell ref="CC87:CD87"/>
  </mergeCells>
  <pageMargins left="0.11811023622047245" right="0.11811023622047245" top="0.35433070866141736" bottom="0.15748031496062992" header="0.31496062992125984" footer="0.31496062992125984"/>
  <pageSetup paperSize="8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BernovskayaAM</dc:creator>
  <cp:lastModifiedBy>YazykovaOA</cp:lastModifiedBy>
  <cp:lastPrinted>2019-01-10T10:24:16Z</cp:lastPrinted>
  <dcterms:created xsi:type="dcterms:W3CDTF">2017-03-24T09:17:58Z</dcterms:created>
  <dcterms:modified xsi:type="dcterms:W3CDTF">2019-01-10T11:08:40Z</dcterms:modified>
</cp:coreProperties>
</file>